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24226"/>
  <mc:AlternateContent xmlns:mc="http://schemas.openxmlformats.org/markup-compatibility/2006">
    <mc:Choice Requires="x15">
      <x15ac:absPath xmlns:x15ac="http://schemas.microsoft.com/office/spreadsheetml/2010/11/ac" url="\\glmfs01\glmdata\jimmyn\Documents\SDBIP\2019-20\"/>
    </mc:Choice>
  </mc:AlternateContent>
  <xr:revisionPtr revIDLastSave="0" documentId="13_ncr:1_{29EF6E81-4166-401D-9BA8-3504D5E12413}" xr6:coauthVersionLast="44" xr6:coauthVersionMax="44" xr10:uidLastSave="{00000000-0000-0000-0000-000000000000}"/>
  <bookViews>
    <workbookView xWindow="-108" yWindow="-108" windowWidth="23256" windowHeight="12576" activeTab="9" xr2:uid="{00000000-000D-0000-FFFF-FFFF00000000}"/>
  </bookViews>
  <sheets>
    <sheet name="COVER" sheetId="15" r:id="rId1"/>
    <sheet name="INDEX" sheetId="14" r:id="rId2"/>
    <sheet name="INTRO" sheetId="18" r:id="rId3"/>
    <sheet name="METHODOLOGY" sheetId="17" r:id="rId4"/>
    <sheet name="STRATEGY" sheetId="19" r:id="rId5"/>
    <sheet name="OPERATIONAL STRATEIES" sheetId="20" r:id="rId6"/>
    <sheet name="Table A3" sheetId="21" r:id="rId7"/>
    <sheet name="Table A4" sheetId="22" r:id="rId8"/>
    <sheet name="Table A5" sheetId="24" r:id="rId9"/>
    <sheet name="SA 26" sheetId="23" r:id="rId10"/>
    <sheet name="SA 27" sheetId="25" r:id="rId11"/>
    <sheet name="SA 28" sheetId="26" r:id="rId12"/>
    <sheet name="MTOD KPI" sheetId="11" r:id="rId13"/>
    <sheet name="BSD KPI" sheetId="12" r:id="rId14"/>
    <sheet name="LED KPI" sheetId="6" r:id="rId15"/>
    <sheet name="MFMV KPI" sheetId="7" r:id="rId16"/>
    <sheet name="GGPP KPI" sheetId="9" r:id="rId17"/>
    <sheet name="CWP 2019-2020" sheetId="29" r:id="rId18"/>
    <sheet name="MTOD Annextue A" sheetId="3" r:id="rId19"/>
    <sheet name="BSD Annexture B" sheetId="4" r:id="rId20"/>
    <sheet name="LED Annexture C" sheetId="5" r:id="rId21"/>
    <sheet name="MFMV Annexture D" sheetId="8" r:id="rId22"/>
    <sheet name="GGPP Annexture E" sheetId="10" r:id="rId23"/>
    <sheet name="Presentation of Adjustment" sheetId="30" r:id="rId24"/>
    <sheet name="SIGNATURES" sheetId="16" r:id="rId25"/>
  </sheets>
  <externalReferences>
    <externalReference r:id="rId26"/>
    <externalReference r:id="rId27"/>
    <externalReference r:id="rId28"/>
  </externalReferences>
  <definedNames>
    <definedName name="_ADJ2">'[1]Table B3'!$B$68</definedName>
    <definedName name="_ADJ4">'[1]Table B3'!$B$70</definedName>
    <definedName name="_ADJ5">'[1]Table B3'!$B$71</definedName>
    <definedName name="ADJB12">'[1]Table B3'!$B$88</definedName>
    <definedName name="ADJB14">'[1]Table B3'!$B$90</definedName>
    <definedName name="ADJB16">'[1]Table B3'!$B$92</definedName>
    <definedName name="Approve2">'[2]Template names'!$B$102</definedName>
    <definedName name="Approve4">'[2]Template names'!$B$103</definedName>
    <definedName name="B5B">[3]COVER!$B$63</definedName>
    <definedName name="Date">[1]INDEX!$X$10</definedName>
    <definedName name="desc">'[1]Table B3'!$B$19</definedName>
    <definedName name="Head1">'[2]Template names'!$B$2</definedName>
    <definedName name="Head10">'[1]Table B3'!$B$17</definedName>
    <definedName name="Head11">'[1]Table B3'!$B$18</definedName>
    <definedName name="Head12">'[2]Template names'!$B$18</definedName>
    <definedName name="Head13">'[2]Template names'!$B$19</definedName>
    <definedName name="Head14">'[2]Template names'!$B$20</definedName>
    <definedName name="Head15">'[2]Template names'!$B$21</definedName>
    <definedName name="Head16">'[2]Template names'!$B$22</definedName>
    <definedName name="Head17">'[2]Template names'!$B$23</definedName>
    <definedName name="Head18">'[2]Template names'!$B$24</definedName>
    <definedName name="Head19">'[2]Template names'!$B$25</definedName>
    <definedName name="head1A">'[2]Template names'!$B$3</definedName>
    <definedName name="head1b">'[2]Template names'!$B$4</definedName>
    <definedName name="Head2">'[1]Table B3'!$B$5</definedName>
    <definedName name="Head20">'[2]Template names'!$B$26</definedName>
    <definedName name="Head21">'[2]Template names'!$B$27</definedName>
    <definedName name="Head22">'[2]Template names'!$B$28</definedName>
    <definedName name="Head23">'[2]Template names'!$B$29</definedName>
    <definedName name="head27">'[1]Table B3'!$B$21</definedName>
    <definedName name="head27a">'[1]Table B3'!$B$22</definedName>
    <definedName name="Head3">'[2]Template names'!$B$7</definedName>
    <definedName name="Head4">'[2]Template names'!$B$8</definedName>
    <definedName name="Head5">'[2]Template names'!$B$9</definedName>
    <definedName name="Head50">'[1]Table B3'!$B$45</definedName>
    <definedName name="Head51">'[1]Table B3'!$B$46</definedName>
    <definedName name="Head52">'[1]Table B3'!$B$47</definedName>
    <definedName name="Head53">'[1]Table B3'!$B$48</definedName>
    <definedName name="Head54">'[1]Table B3'!$B$49</definedName>
    <definedName name="Head55">'[1]Table B3'!$B$50</definedName>
    <definedName name="Head56">'[1]Table B3'!$B$51</definedName>
    <definedName name="Head5A">'[1]Table B3'!$B$11</definedName>
    <definedName name="Head5b">'[2]Template names'!$B$11</definedName>
    <definedName name="Head6">'[1]Table B3'!$B$13</definedName>
    <definedName name="Head7">'[1]Table B3'!$B$14</definedName>
    <definedName name="Head8">'[2]Template names'!$B$14</definedName>
    <definedName name="Head9">'[1]Table B3'!$B$16</definedName>
    <definedName name="muni">'[1]Table B3'!$B$63</definedName>
    <definedName name="_xlnm.Print_Area" localSheetId="19">'BSD Annexture B'!$A$1:$Q$82</definedName>
    <definedName name="_xlnm.Print_Area" localSheetId="22">'GGPP Annexture E'!$A$1:$Q$11</definedName>
    <definedName name="_xlnm.Print_Area" localSheetId="2">INTRO!$A$1:$B$6</definedName>
    <definedName name="_xlnm.Print_Area" localSheetId="20">'LED Annexture C'!$A$1:$Q$10</definedName>
    <definedName name="_xlnm.Print_Area" localSheetId="21">'MFMV Annexture D'!$A$1:$Q$15</definedName>
    <definedName name="_xlnm.Print_Area" localSheetId="12">'MTOD KPI'!$A$1:$O$29</definedName>
    <definedName name="_xlnm.Print_Area" localSheetId="5">'OPERATIONAL STRATEIES'!$A$1:$C$19</definedName>
    <definedName name="_xlnm.Print_Area" localSheetId="8">'Table A5'!$A$1:$L$85</definedName>
    <definedName name="_xlnm.Print_Titles" localSheetId="18">'MTOD Annextue A'!$4:$4</definedName>
    <definedName name="_xlnm.Print_Titles" localSheetId="12">'MTOD KPI'!$1:$1</definedName>
    <definedName name="result">'[1]Table B3'!$B$23</definedName>
    <definedName name="sdbip">[3]COVER!$B$22</definedName>
    <definedName name="TableA25">'[2]Template names'!$B$137</definedName>
    <definedName name="TableA26">'[2]Template names'!$B$138</definedName>
    <definedName name="TableA28">'[2]Template names'!$B$140</definedName>
    <definedName name="Vdesc">'[1]Table B3'!$B$20</definedName>
    <definedName name="Vote">#REF!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79" i="4" l="1"/>
  <c r="L82" i="4"/>
  <c r="L76" i="4"/>
  <c r="L75" i="4"/>
  <c r="L37" i="4"/>
  <c r="L36" i="4"/>
  <c r="L34" i="4"/>
  <c r="L30" i="4"/>
  <c r="L29" i="4"/>
  <c r="L6" i="5"/>
  <c r="L5" i="5"/>
  <c r="L14" i="4"/>
  <c r="L6" i="4"/>
  <c r="L7" i="4"/>
  <c r="L8" i="4"/>
  <c r="L9" i="4"/>
  <c r="L10" i="4"/>
  <c r="L11" i="4"/>
  <c r="L12" i="4"/>
  <c r="L13" i="4"/>
  <c r="L15" i="4"/>
  <c r="L16" i="4"/>
  <c r="L17" i="4"/>
  <c r="L18" i="4"/>
  <c r="L19" i="4"/>
  <c r="L20" i="4"/>
  <c r="L21" i="4"/>
  <c r="L22" i="4"/>
  <c r="L23" i="4"/>
  <c r="L24" i="4"/>
  <c r="L25" i="4"/>
  <c r="L26" i="4"/>
  <c r="L27" i="4"/>
  <c r="L28" i="4"/>
  <c r="L31" i="4"/>
  <c r="L32" i="4"/>
  <c r="L33" i="4"/>
  <c r="L35"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L72" i="4"/>
  <c r="L73" i="4"/>
  <c r="L74" i="4"/>
  <c r="L77" i="4"/>
  <c r="L78" i="4"/>
  <c r="L80" i="4"/>
  <c r="L81" i="4"/>
  <c r="L5" i="4"/>
  <c r="L10" i="3"/>
  <c r="L6" i="3"/>
  <c r="L7" i="3"/>
  <c r="L8" i="3"/>
  <c r="L9" i="3"/>
  <c r="L11" i="3"/>
  <c r="L12" i="3"/>
  <c r="L13" i="3"/>
  <c r="L14" i="3"/>
  <c r="L15" i="3"/>
  <c r="L16" i="3"/>
  <c r="L17" i="3"/>
  <c r="L5" i="3"/>
  <c r="L7" i="10"/>
  <c r="L8" i="10"/>
  <c r="L9" i="10"/>
  <c r="L10" i="10"/>
  <c r="L11" i="10"/>
  <c r="L6" i="10"/>
  <c r="L9" i="8"/>
  <c r="L6" i="8"/>
  <c r="L7" i="8"/>
  <c r="L8" i="8"/>
  <c r="L10" i="8"/>
  <c r="L11" i="8"/>
  <c r="L12" i="8"/>
  <c r="L13" i="8"/>
  <c r="L14" i="8"/>
  <c r="L5" i="8"/>
  <c r="L8" i="5"/>
  <c r="L7" i="5"/>
  <c r="L9" i="5"/>
  <c r="L10" i="5"/>
  <c r="A41" i="25"/>
  <c r="N41" i="25"/>
  <c r="M41" i="25"/>
  <c r="O41" i="25"/>
  <c r="P41" i="25"/>
  <c r="A42" i="25"/>
  <c r="N42" i="25"/>
  <c r="M42" i="25"/>
  <c r="O42" i="25"/>
  <c r="P42" i="25"/>
  <c r="A43" i="25"/>
  <c r="N43" i="25"/>
  <c r="M43" i="25"/>
  <c r="O43" i="25"/>
  <c r="P43" i="25"/>
  <c r="N33" i="25"/>
  <c r="M33" i="25"/>
  <c r="O33" i="25"/>
  <c r="P33" i="25"/>
  <c r="N34" i="25"/>
  <c r="M34" i="25"/>
  <c r="O34" i="25"/>
  <c r="P34" i="25"/>
  <c r="N35" i="25"/>
  <c r="M35" i="25"/>
  <c r="O35" i="25"/>
  <c r="P35" i="25"/>
  <c r="N36" i="25"/>
  <c r="M36" i="25"/>
  <c r="O36" i="25"/>
  <c r="P36" i="25"/>
  <c r="A42" i="26"/>
  <c r="H20" i="26"/>
  <c r="H38" i="26"/>
  <c r="H39" i="26"/>
  <c r="L38" i="26"/>
  <c r="L20" i="26"/>
  <c r="L39" i="26"/>
  <c r="K38" i="26"/>
  <c r="J38" i="26"/>
  <c r="I38" i="26"/>
  <c r="G38" i="26"/>
  <c r="F38" i="26"/>
  <c r="E38" i="26"/>
  <c r="D38" i="26"/>
  <c r="D20" i="26"/>
  <c r="D39" i="26"/>
  <c r="C38" i="26"/>
  <c r="B38" i="26"/>
  <c r="P37" i="26"/>
  <c r="O37" i="26"/>
  <c r="N37" i="26"/>
  <c r="M37" i="26"/>
  <c r="A37" i="26"/>
  <c r="P36" i="26"/>
  <c r="O36" i="26"/>
  <c r="N36" i="26"/>
  <c r="M36" i="26"/>
  <c r="A36" i="26"/>
  <c r="P35" i="26"/>
  <c r="O35" i="26"/>
  <c r="N35" i="26"/>
  <c r="M35" i="26"/>
  <c r="A35" i="26"/>
  <c r="P34" i="26"/>
  <c r="O34" i="26"/>
  <c r="N34" i="26"/>
  <c r="M34" i="26"/>
  <c r="A34" i="26"/>
  <c r="P33" i="26"/>
  <c r="O33" i="26"/>
  <c r="N33" i="26"/>
  <c r="M33" i="26"/>
  <c r="A33" i="26"/>
  <c r="P32" i="26"/>
  <c r="O32" i="26"/>
  <c r="N32" i="26"/>
  <c r="M32" i="26"/>
  <c r="A32" i="26"/>
  <c r="P31" i="26"/>
  <c r="O31" i="26"/>
  <c r="N31" i="26"/>
  <c r="M31" i="26"/>
  <c r="A31" i="26"/>
  <c r="P30" i="26"/>
  <c r="O30" i="26"/>
  <c r="N30" i="26"/>
  <c r="M30" i="26"/>
  <c r="A30" i="26"/>
  <c r="P29" i="26"/>
  <c r="O29" i="26"/>
  <c r="N29" i="26"/>
  <c r="M29" i="26"/>
  <c r="A29" i="26"/>
  <c r="P28" i="26"/>
  <c r="O28" i="26"/>
  <c r="N28" i="26"/>
  <c r="M28" i="26"/>
  <c r="A28" i="26"/>
  <c r="P27" i="26"/>
  <c r="O27" i="26"/>
  <c r="N27" i="26"/>
  <c r="M27" i="26"/>
  <c r="A27" i="26"/>
  <c r="P26" i="26"/>
  <c r="O26" i="26"/>
  <c r="N26" i="26"/>
  <c r="M26" i="26"/>
  <c r="A26" i="26"/>
  <c r="P25" i="26"/>
  <c r="O25" i="26"/>
  <c r="N25" i="26"/>
  <c r="M25" i="26"/>
  <c r="A25" i="26"/>
  <c r="P24" i="26"/>
  <c r="O24" i="26"/>
  <c r="N24" i="26"/>
  <c r="M24" i="26"/>
  <c r="A24" i="26"/>
  <c r="P23" i="26"/>
  <c r="O23" i="26"/>
  <c r="N23" i="26"/>
  <c r="M23" i="26"/>
  <c r="A23" i="26"/>
  <c r="K20" i="26"/>
  <c r="K39" i="26"/>
  <c r="J20" i="26"/>
  <c r="J39" i="26"/>
  <c r="I20" i="26"/>
  <c r="I39" i="26"/>
  <c r="G20" i="26"/>
  <c r="G39" i="26"/>
  <c r="F20" i="26"/>
  <c r="E20" i="26"/>
  <c r="E39" i="26"/>
  <c r="C20" i="26"/>
  <c r="C39" i="26"/>
  <c r="B20" i="26"/>
  <c r="B39" i="26"/>
  <c r="P19" i="26"/>
  <c r="O19" i="26"/>
  <c r="N19" i="26"/>
  <c r="M19" i="26"/>
  <c r="A19" i="26"/>
  <c r="P18" i="26"/>
  <c r="O18" i="26"/>
  <c r="N18" i="26"/>
  <c r="M18" i="26"/>
  <c r="A18" i="26"/>
  <c r="P17" i="26"/>
  <c r="O17" i="26"/>
  <c r="N17" i="26"/>
  <c r="M17" i="26"/>
  <c r="A17" i="26"/>
  <c r="P16" i="26"/>
  <c r="O16" i="26"/>
  <c r="N16" i="26"/>
  <c r="M16" i="26"/>
  <c r="A16" i="26"/>
  <c r="P15" i="26"/>
  <c r="O15" i="26"/>
  <c r="N15" i="26"/>
  <c r="M15" i="26"/>
  <c r="A15" i="26"/>
  <c r="P14" i="26"/>
  <c r="O14" i="26"/>
  <c r="N14" i="26"/>
  <c r="M14" i="26"/>
  <c r="A14" i="26"/>
  <c r="P13" i="26"/>
  <c r="O13" i="26"/>
  <c r="N13" i="26"/>
  <c r="M13" i="26"/>
  <c r="A13" i="26"/>
  <c r="P12" i="26"/>
  <c r="O12" i="26"/>
  <c r="N12" i="26"/>
  <c r="M12" i="26"/>
  <c r="A12" i="26"/>
  <c r="P11" i="26"/>
  <c r="O11" i="26"/>
  <c r="N11" i="26"/>
  <c r="M11" i="26"/>
  <c r="A11" i="26"/>
  <c r="P10" i="26"/>
  <c r="O10" i="26"/>
  <c r="N10" i="26"/>
  <c r="M10" i="26"/>
  <c r="A10" i="26"/>
  <c r="P9" i="26"/>
  <c r="O9" i="26"/>
  <c r="N9" i="26"/>
  <c r="M9" i="26"/>
  <c r="A9" i="26"/>
  <c r="P8" i="26"/>
  <c r="O8" i="26"/>
  <c r="N8" i="26"/>
  <c r="M8" i="26"/>
  <c r="A8" i="26"/>
  <c r="P7" i="26"/>
  <c r="O7" i="26"/>
  <c r="N7" i="26"/>
  <c r="M7" i="26"/>
  <c r="A7" i="26"/>
  <c r="P6" i="26"/>
  <c r="O6" i="26"/>
  <c r="N6" i="26"/>
  <c r="M6" i="26"/>
  <c r="A6" i="26"/>
  <c r="P5" i="26"/>
  <c r="O5" i="26"/>
  <c r="N5" i="26"/>
  <c r="M5" i="26"/>
  <c r="A5" i="26"/>
  <c r="P3" i="26"/>
  <c r="O3" i="26"/>
  <c r="N3" i="26"/>
  <c r="B2" i="26"/>
  <c r="A2" i="26"/>
  <c r="A1" i="26"/>
  <c r="A45" i="25"/>
  <c r="A44" i="25"/>
  <c r="A39" i="25"/>
  <c r="L37" i="25"/>
  <c r="K37" i="25"/>
  <c r="J37" i="25"/>
  <c r="I37" i="25"/>
  <c r="H37" i="25"/>
  <c r="G37" i="25"/>
  <c r="F37" i="25"/>
  <c r="E37" i="25"/>
  <c r="D37" i="25"/>
  <c r="C37" i="25"/>
  <c r="B37" i="25"/>
  <c r="A37" i="25"/>
  <c r="P32" i="25"/>
  <c r="O32" i="25"/>
  <c r="N32" i="25"/>
  <c r="M32" i="25"/>
  <c r="P31" i="25"/>
  <c r="O31" i="25"/>
  <c r="N31" i="25"/>
  <c r="M31" i="25"/>
  <c r="P30" i="25"/>
  <c r="O30" i="25"/>
  <c r="N30" i="25"/>
  <c r="M30" i="25"/>
  <c r="P29" i="25"/>
  <c r="O29" i="25"/>
  <c r="N29" i="25"/>
  <c r="M29" i="25"/>
  <c r="P28" i="25"/>
  <c r="O28" i="25"/>
  <c r="N28" i="25"/>
  <c r="M28" i="25"/>
  <c r="P27" i="25"/>
  <c r="O27" i="25"/>
  <c r="N27" i="25"/>
  <c r="M27" i="25"/>
  <c r="P26" i="25"/>
  <c r="O26" i="25"/>
  <c r="N26" i="25"/>
  <c r="M26" i="25"/>
  <c r="P25" i="25"/>
  <c r="O25" i="25"/>
  <c r="N25" i="25"/>
  <c r="M25" i="25"/>
  <c r="P24" i="25"/>
  <c r="O24" i="25"/>
  <c r="N24" i="25"/>
  <c r="M24" i="25"/>
  <c r="P23" i="25"/>
  <c r="O23" i="25"/>
  <c r="N23" i="25"/>
  <c r="M23" i="25"/>
  <c r="P22" i="25"/>
  <c r="O22" i="25"/>
  <c r="N22" i="25"/>
  <c r="M22" i="25"/>
  <c r="A21" i="25"/>
  <c r="L20" i="25"/>
  <c r="K20" i="25"/>
  <c r="J20" i="25"/>
  <c r="I20" i="25"/>
  <c r="H20" i="25"/>
  <c r="A20" i="25"/>
  <c r="P19" i="25"/>
  <c r="O19" i="25"/>
  <c r="N19" i="25"/>
  <c r="M19" i="25"/>
  <c r="A19" i="25"/>
  <c r="A36" i="25"/>
  <c r="P18" i="25"/>
  <c r="O18" i="25"/>
  <c r="N18" i="25"/>
  <c r="M18" i="25"/>
  <c r="A18" i="25"/>
  <c r="A35" i="25"/>
  <c r="P17" i="25"/>
  <c r="O17" i="25"/>
  <c r="N17" i="25"/>
  <c r="M17" i="25"/>
  <c r="A17" i="25"/>
  <c r="A34" i="25"/>
  <c r="P16" i="25"/>
  <c r="O16" i="25"/>
  <c r="N16" i="25"/>
  <c r="M16" i="25"/>
  <c r="A16" i="25"/>
  <c r="A33" i="25"/>
  <c r="P15" i="25"/>
  <c r="O15" i="25"/>
  <c r="N15" i="25"/>
  <c r="M15" i="25"/>
  <c r="A15" i="25"/>
  <c r="A32" i="25"/>
  <c r="P14" i="25"/>
  <c r="O14" i="25"/>
  <c r="N14" i="25"/>
  <c r="M14" i="25"/>
  <c r="A14" i="25"/>
  <c r="A31" i="25"/>
  <c r="P13" i="25"/>
  <c r="O13" i="25"/>
  <c r="N13" i="25"/>
  <c r="G13" i="25"/>
  <c r="F13" i="25"/>
  <c r="E13" i="25"/>
  <c r="E20" i="25"/>
  <c r="D13" i="25"/>
  <c r="C13" i="25"/>
  <c r="B13" i="25"/>
  <c r="A13" i="25"/>
  <c r="A30" i="25"/>
  <c r="P12" i="25"/>
  <c r="O12" i="25"/>
  <c r="N12" i="25"/>
  <c r="G12" i="25"/>
  <c r="F12" i="25"/>
  <c r="D12" i="25"/>
  <c r="C12" i="25"/>
  <c r="C20" i="25"/>
  <c r="B12" i="25"/>
  <c r="A12" i="25"/>
  <c r="A29" i="25"/>
  <c r="P11" i="25"/>
  <c r="O11" i="25"/>
  <c r="N11" i="25"/>
  <c r="M11" i="25"/>
  <c r="A11" i="25"/>
  <c r="A28" i="25"/>
  <c r="P10" i="25"/>
  <c r="O10" i="25"/>
  <c r="N10" i="25"/>
  <c r="M10" i="25"/>
  <c r="A10" i="25"/>
  <c r="A27" i="25"/>
  <c r="P9" i="25"/>
  <c r="O9" i="25"/>
  <c r="N9" i="25"/>
  <c r="M9" i="25"/>
  <c r="A9" i="25"/>
  <c r="A26" i="25"/>
  <c r="P8" i="25"/>
  <c r="O8" i="25"/>
  <c r="N8" i="25"/>
  <c r="M8" i="25"/>
  <c r="A8" i="25"/>
  <c r="A25" i="25"/>
  <c r="P7" i="25"/>
  <c r="O7" i="25"/>
  <c r="N7" i="25"/>
  <c r="M7" i="25"/>
  <c r="A7" i="25"/>
  <c r="A24" i="25"/>
  <c r="P6" i="25"/>
  <c r="O6" i="25"/>
  <c r="N6" i="25"/>
  <c r="M6" i="25"/>
  <c r="A6" i="25"/>
  <c r="A23" i="25"/>
  <c r="P5" i="25"/>
  <c r="O5" i="25"/>
  <c r="N5" i="25"/>
  <c r="M5" i="25"/>
  <c r="A5" i="25"/>
  <c r="A22" i="25"/>
  <c r="A4" i="25"/>
  <c r="P3" i="25"/>
  <c r="O3" i="25"/>
  <c r="N3" i="25"/>
  <c r="B2" i="25"/>
  <c r="A2" i="25"/>
  <c r="A1" i="25"/>
  <c r="A44" i="23"/>
  <c r="A43" i="23"/>
  <c r="P42" i="23"/>
  <c r="O42" i="23"/>
  <c r="N42" i="23"/>
  <c r="M42" i="23"/>
  <c r="A42" i="23"/>
  <c r="P41" i="23"/>
  <c r="O41" i="23"/>
  <c r="N41" i="23"/>
  <c r="M41" i="23"/>
  <c r="A41" i="23"/>
  <c r="P40" i="23"/>
  <c r="O40" i="23"/>
  <c r="N40" i="23"/>
  <c r="M40" i="23"/>
  <c r="A40" i="23"/>
  <c r="A39" i="23"/>
  <c r="P38" i="23"/>
  <c r="O38" i="23"/>
  <c r="N38" i="23"/>
  <c r="M38" i="23"/>
  <c r="A38" i="23"/>
  <c r="A37" i="23"/>
  <c r="L35" i="23"/>
  <c r="K35" i="23"/>
  <c r="J35" i="23"/>
  <c r="I35" i="23"/>
  <c r="H35" i="23"/>
  <c r="G35" i="23"/>
  <c r="F35" i="23"/>
  <c r="E35" i="23"/>
  <c r="D35" i="23"/>
  <c r="C35" i="23"/>
  <c r="B35" i="23"/>
  <c r="A35" i="23"/>
  <c r="P34" i="23"/>
  <c r="O34" i="23"/>
  <c r="N34" i="23"/>
  <c r="M34" i="23"/>
  <c r="A34" i="23"/>
  <c r="P33" i="23"/>
  <c r="O33" i="23"/>
  <c r="N33" i="23"/>
  <c r="M33" i="23"/>
  <c r="A33" i="23"/>
  <c r="P32" i="23"/>
  <c r="O32" i="23"/>
  <c r="N32" i="23"/>
  <c r="M32" i="23"/>
  <c r="A32" i="23"/>
  <c r="P31" i="23"/>
  <c r="O31" i="23"/>
  <c r="N31" i="23"/>
  <c r="M31" i="23"/>
  <c r="A31" i="23"/>
  <c r="P30" i="23"/>
  <c r="O30" i="23"/>
  <c r="N30" i="23"/>
  <c r="M30" i="23"/>
  <c r="A30" i="23"/>
  <c r="P29" i="23"/>
  <c r="O29" i="23"/>
  <c r="N29" i="23"/>
  <c r="M29" i="23"/>
  <c r="A29" i="23"/>
  <c r="P28" i="23"/>
  <c r="O28" i="23"/>
  <c r="N28" i="23"/>
  <c r="M28" i="23"/>
  <c r="A28" i="23"/>
  <c r="P27" i="23"/>
  <c r="O27" i="23"/>
  <c r="N27" i="23"/>
  <c r="M27" i="23"/>
  <c r="A27" i="23"/>
  <c r="P26" i="23"/>
  <c r="O26" i="23"/>
  <c r="N26" i="23"/>
  <c r="M26" i="23"/>
  <c r="A26" i="23"/>
  <c r="P25" i="23"/>
  <c r="O25" i="23"/>
  <c r="N25" i="23"/>
  <c r="M25" i="23"/>
  <c r="A25" i="23"/>
  <c r="P24" i="23"/>
  <c r="O24" i="23"/>
  <c r="N24" i="23"/>
  <c r="M24" i="23"/>
  <c r="A24" i="23"/>
  <c r="A23" i="23"/>
  <c r="L21" i="23"/>
  <c r="K21" i="23"/>
  <c r="K37" i="23"/>
  <c r="K39" i="23"/>
  <c r="K43" i="23"/>
  <c r="J21" i="23"/>
  <c r="I21" i="23"/>
  <c r="I37" i="23"/>
  <c r="I39" i="23"/>
  <c r="I43" i="23"/>
  <c r="H21" i="23"/>
  <c r="G21" i="23"/>
  <c r="G37" i="23"/>
  <c r="G39" i="23"/>
  <c r="G43" i="23"/>
  <c r="F21" i="23"/>
  <c r="E21" i="23"/>
  <c r="E37" i="23"/>
  <c r="E39" i="23"/>
  <c r="E43" i="23"/>
  <c r="D21" i="23"/>
  <c r="C21" i="23"/>
  <c r="C37" i="23"/>
  <c r="C39" i="23"/>
  <c r="C43" i="23"/>
  <c r="B21" i="23"/>
  <c r="A21" i="23"/>
  <c r="P20" i="23"/>
  <c r="O20" i="23"/>
  <c r="N20" i="23"/>
  <c r="M20" i="23"/>
  <c r="A20" i="23"/>
  <c r="P19" i="23"/>
  <c r="O19" i="23"/>
  <c r="N19" i="23"/>
  <c r="M19" i="23"/>
  <c r="A19" i="23"/>
  <c r="P18" i="23"/>
  <c r="O18" i="23"/>
  <c r="N18" i="23"/>
  <c r="M18" i="23"/>
  <c r="A18" i="23"/>
  <c r="P17" i="23"/>
  <c r="O17" i="23"/>
  <c r="N17" i="23"/>
  <c r="M17" i="23"/>
  <c r="A17" i="23"/>
  <c r="P16" i="23"/>
  <c r="O16" i="23"/>
  <c r="N16" i="23"/>
  <c r="M16" i="23"/>
  <c r="A16" i="23"/>
  <c r="P15" i="23"/>
  <c r="O15" i="23"/>
  <c r="N15" i="23"/>
  <c r="M15" i="23"/>
  <c r="A15" i="23"/>
  <c r="P14" i="23"/>
  <c r="O14" i="23"/>
  <c r="N14" i="23"/>
  <c r="M14" i="23"/>
  <c r="A14" i="23"/>
  <c r="P13" i="23"/>
  <c r="O13" i="23"/>
  <c r="N13" i="23"/>
  <c r="M13" i="23"/>
  <c r="A13" i="23"/>
  <c r="P12" i="23"/>
  <c r="O12" i="23"/>
  <c r="N12" i="23"/>
  <c r="M12" i="23"/>
  <c r="A12" i="23"/>
  <c r="P11" i="23"/>
  <c r="O11" i="23"/>
  <c r="N11" i="23"/>
  <c r="M11" i="23"/>
  <c r="A11" i="23"/>
  <c r="P9" i="23"/>
  <c r="O9" i="23"/>
  <c r="N9" i="23"/>
  <c r="M9" i="23"/>
  <c r="A9" i="23"/>
  <c r="P8" i="23"/>
  <c r="O8" i="23"/>
  <c r="N8" i="23"/>
  <c r="M8" i="23"/>
  <c r="A8" i="23"/>
  <c r="P7" i="23"/>
  <c r="O7" i="23"/>
  <c r="N7" i="23"/>
  <c r="M7" i="23"/>
  <c r="A7" i="23"/>
  <c r="P6" i="23"/>
  <c r="O6" i="23"/>
  <c r="N6" i="23"/>
  <c r="M6" i="23"/>
  <c r="A6" i="23"/>
  <c r="P5" i="23"/>
  <c r="O5" i="23"/>
  <c r="N5" i="23"/>
  <c r="M5" i="23"/>
  <c r="A5" i="23"/>
  <c r="A4" i="23"/>
  <c r="P3" i="23"/>
  <c r="O3" i="23"/>
  <c r="N3" i="23"/>
  <c r="B2" i="23"/>
  <c r="A2" i="23"/>
  <c r="A1" i="23"/>
  <c r="F39" i="26"/>
  <c r="E39" i="25"/>
  <c r="E44" i="25"/>
  <c r="D20" i="25"/>
  <c r="D39" i="25"/>
  <c r="D44" i="25"/>
  <c r="L39" i="25"/>
  <c r="L44" i="25"/>
  <c r="C39" i="25"/>
  <c r="C44" i="25"/>
  <c r="G20" i="25"/>
  <c r="G39" i="25"/>
  <c r="G44" i="25"/>
  <c r="H39" i="25"/>
  <c r="H44" i="25"/>
  <c r="M12" i="25"/>
  <c r="F20" i="25"/>
  <c r="F39" i="25"/>
  <c r="F44" i="25"/>
  <c r="M13" i="25"/>
  <c r="K39" i="25"/>
  <c r="K44" i="25"/>
  <c r="I39" i="25"/>
  <c r="I44" i="25"/>
  <c r="B20" i="25"/>
  <c r="B39" i="25"/>
  <c r="B44" i="25"/>
  <c r="J39" i="25"/>
  <c r="J44" i="25"/>
  <c r="B37" i="23"/>
  <c r="B39" i="23"/>
  <c r="B43" i="23"/>
  <c r="J37" i="23"/>
  <c r="J39" i="23"/>
  <c r="J43" i="23"/>
  <c r="D37" i="23"/>
  <c r="D39" i="23"/>
  <c r="D43" i="23"/>
  <c r="L37" i="23"/>
  <c r="L39" i="23"/>
  <c r="L43" i="23"/>
  <c r="F37" i="23"/>
  <c r="F39" i="23"/>
  <c r="F43" i="23"/>
  <c r="H37" i="23"/>
  <c r="H39" i="23"/>
  <c r="H43" i="23"/>
  <c r="P38" i="26"/>
  <c r="P20" i="26"/>
  <c r="P45" i="26"/>
  <c r="P21" i="23"/>
  <c r="O37" i="25"/>
  <c r="P20" i="25"/>
  <c r="P37" i="25"/>
  <c r="O20" i="26"/>
  <c r="O45" i="26"/>
  <c r="O35" i="23"/>
  <c r="O38" i="26"/>
  <c r="N35" i="23"/>
  <c r="O20" i="25"/>
  <c r="N38" i="26"/>
  <c r="O21" i="23"/>
  <c r="P35" i="23"/>
  <c r="M38" i="26"/>
  <c r="M20" i="26"/>
  <c r="N20" i="26"/>
  <c r="M37" i="25"/>
  <c r="N37" i="25"/>
  <c r="N20" i="25"/>
  <c r="M35" i="23"/>
  <c r="M21" i="23"/>
  <c r="N21" i="23"/>
  <c r="M20" i="25"/>
  <c r="M39" i="25"/>
  <c r="M44" i="25"/>
  <c r="O39" i="25"/>
  <c r="O44" i="25"/>
  <c r="O47" i="25"/>
  <c r="O39" i="26"/>
  <c r="N39" i="25"/>
  <c r="N44" i="25"/>
  <c r="N47" i="25"/>
  <c r="M37" i="23"/>
  <c r="M39" i="23"/>
  <c r="M43" i="23"/>
  <c r="O37" i="23"/>
  <c r="O39" i="23"/>
  <c r="O43" i="23"/>
  <c r="O46" i="23"/>
  <c r="M39" i="26"/>
  <c r="P39" i="26"/>
  <c r="N37" i="23"/>
  <c r="N39" i="23"/>
  <c r="N43" i="23"/>
  <c r="N46" i="23"/>
  <c r="P39" i="25"/>
  <c r="P44" i="25"/>
  <c r="P47" i="25"/>
  <c r="P37" i="23"/>
  <c r="P39" i="23"/>
  <c r="P43" i="23"/>
  <c r="P46" i="23"/>
  <c r="N45" i="26"/>
  <c r="N39" i="26"/>
  <c r="A75" i="24"/>
  <c r="G66" i="24"/>
  <c r="G70" i="24"/>
  <c r="G74" i="24"/>
  <c r="L70" i="24"/>
  <c r="L74" i="24"/>
  <c r="K70" i="24"/>
  <c r="K74" i="24"/>
  <c r="J70" i="24"/>
  <c r="J74" i="24"/>
  <c r="F70" i="24"/>
  <c r="F74" i="24"/>
  <c r="E66" i="24"/>
  <c r="E70" i="24"/>
  <c r="E74" i="24"/>
  <c r="D66" i="24"/>
  <c r="D70" i="24"/>
  <c r="D74" i="24"/>
  <c r="C70" i="24"/>
  <c r="C74" i="24"/>
  <c r="I66" i="24"/>
  <c r="I70" i="24"/>
  <c r="I74" i="24"/>
  <c r="H66" i="24"/>
  <c r="H70" i="24"/>
  <c r="H74" i="24"/>
  <c r="L57" i="24"/>
  <c r="K57" i="24"/>
  <c r="J57" i="24"/>
  <c r="I57" i="24"/>
  <c r="H57" i="24"/>
  <c r="G57" i="24"/>
  <c r="F57" i="24"/>
  <c r="E57" i="24"/>
  <c r="D57" i="24"/>
  <c r="C57" i="24"/>
  <c r="L55" i="24"/>
  <c r="K55" i="24"/>
  <c r="J55" i="24"/>
  <c r="I55" i="24"/>
  <c r="H55" i="24"/>
  <c r="H53" i="24"/>
  <c r="G55" i="24"/>
  <c r="G53" i="24"/>
  <c r="L53" i="24"/>
  <c r="K53" i="24"/>
  <c r="J53" i="24"/>
  <c r="I53" i="24"/>
  <c r="F53" i="24"/>
  <c r="E53" i="24"/>
  <c r="D53" i="24"/>
  <c r="C53" i="24"/>
  <c r="L49" i="24"/>
  <c r="L47" i="24"/>
  <c r="K49" i="24"/>
  <c r="J49" i="24"/>
  <c r="J48" i="24"/>
  <c r="K47" i="24"/>
  <c r="J47" i="24"/>
  <c r="I47" i="24"/>
  <c r="I43" i="24"/>
  <c r="I63" i="24"/>
  <c r="I85" i="24"/>
  <c r="H47" i="24"/>
  <c r="H43" i="24"/>
  <c r="H63" i="24"/>
  <c r="H85" i="24"/>
  <c r="G47" i="24"/>
  <c r="F47" i="24"/>
  <c r="F43" i="24"/>
  <c r="F63" i="24"/>
  <c r="F85" i="24"/>
  <c r="E47" i="24"/>
  <c r="D47" i="24"/>
  <c r="C47" i="24"/>
  <c r="J45" i="24"/>
  <c r="J43" i="24"/>
  <c r="J63" i="24"/>
  <c r="J85" i="24"/>
  <c r="L43" i="24"/>
  <c r="K43" i="24"/>
  <c r="K63" i="24"/>
  <c r="K85" i="24"/>
  <c r="G43" i="24"/>
  <c r="E43" i="24"/>
  <c r="E63" i="24"/>
  <c r="D43" i="24"/>
  <c r="D63" i="24"/>
  <c r="C43" i="24"/>
  <c r="C63" i="24"/>
  <c r="C85" i="24"/>
  <c r="L38" i="24"/>
  <c r="K38" i="24"/>
  <c r="J38" i="24"/>
  <c r="I38" i="24"/>
  <c r="H38" i="24"/>
  <c r="G38" i="24"/>
  <c r="F38" i="24"/>
  <c r="E38" i="24"/>
  <c r="D38" i="24"/>
  <c r="C38" i="24"/>
  <c r="L37" i="24"/>
  <c r="K37" i="24"/>
  <c r="J37" i="24"/>
  <c r="I37" i="24"/>
  <c r="H37" i="24"/>
  <c r="G37" i="24"/>
  <c r="F37" i="24"/>
  <c r="E37" i="24"/>
  <c r="D37" i="24"/>
  <c r="C37" i="24"/>
  <c r="L36" i="24"/>
  <c r="K36" i="24"/>
  <c r="J36" i="24"/>
  <c r="I36" i="24"/>
  <c r="H36" i="24"/>
  <c r="G36" i="24"/>
  <c r="F36" i="24"/>
  <c r="E36" i="24"/>
  <c r="D36" i="24"/>
  <c r="C36" i="24"/>
  <c r="L35" i="24"/>
  <c r="K35" i="24"/>
  <c r="J35" i="24"/>
  <c r="I35" i="24"/>
  <c r="H35" i="24"/>
  <c r="G35" i="24"/>
  <c r="F35" i="24"/>
  <c r="E35" i="24"/>
  <c r="D35" i="24"/>
  <c r="C35" i="24"/>
  <c r="L34" i="24"/>
  <c r="K34" i="24"/>
  <c r="J34" i="24"/>
  <c r="I34" i="24"/>
  <c r="H34" i="24"/>
  <c r="G34" i="24"/>
  <c r="F34" i="24"/>
  <c r="E34" i="24"/>
  <c r="D34" i="24"/>
  <c r="C34" i="24"/>
  <c r="L33" i="24"/>
  <c r="K33" i="24"/>
  <c r="J33" i="24"/>
  <c r="I33" i="24"/>
  <c r="H33" i="24"/>
  <c r="G33" i="24"/>
  <c r="F33" i="24"/>
  <c r="E33" i="24"/>
  <c r="D33" i="24"/>
  <c r="C33" i="24"/>
  <c r="L32" i="24"/>
  <c r="K32" i="24"/>
  <c r="J32" i="24"/>
  <c r="I32" i="24"/>
  <c r="H32" i="24"/>
  <c r="G32" i="24"/>
  <c r="F32" i="24"/>
  <c r="E32" i="24"/>
  <c r="D32" i="24"/>
  <c r="C32" i="24"/>
  <c r="L31" i="24"/>
  <c r="K31" i="24"/>
  <c r="J31" i="24"/>
  <c r="I31" i="24"/>
  <c r="H31" i="24"/>
  <c r="G31" i="24"/>
  <c r="F31" i="24"/>
  <c r="E31" i="24"/>
  <c r="D31" i="24"/>
  <c r="C31" i="24"/>
  <c r="L30" i="24"/>
  <c r="K30" i="24"/>
  <c r="J30" i="24"/>
  <c r="I30" i="24"/>
  <c r="H30" i="24"/>
  <c r="G30" i="24"/>
  <c r="F30" i="24"/>
  <c r="E30" i="24"/>
  <c r="D30" i="24"/>
  <c r="C30" i="24"/>
  <c r="L29" i="24"/>
  <c r="K29" i="24"/>
  <c r="J29" i="24"/>
  <c r="I29" i="24"/>
  <c r="H29" i="24"/>
  <c r="G29" i="24"/>
  <c r="F29" i="24"/>
  <c r="E29" i="24"/>
  <c r="D29" i="24"/>
  <c r="C29" i="24"/>
  <c r="L28" i="24"/>
  <c r="K28" i="24"/>
  <c r="J28" i="24"/>
  <c r="I28" i="24"/>
  <c r="H28" i="24"/>
  <c r="G28" i="24"/>
  <c r="F28" i="24"/>
  <c r="E28" i="24"/>
  <c r="D28" i="24"/>
  <c r="C28" i="24"/>
  <c r="L27" i="24"/>
  <c r="K27" i="24"/>
  <c r="J27" i="24"/>
  <c r="I27" i="24"/>
  <c r="H27" i="24"/>
  <c r="G27" i="24"/>
  <c r="F27" i="24"/>
  <c r="E27" i="24"/>
  <c r="D27" i="24"/>
  <c r="C27" i="24"/>
  <c r="L26" i="24"/>
  <c r="K26" i="24"/>
  <c r="J26" i="24"/>
  <c r="I26" i="24"/>
  <c r="H26" i="24"/>
  <c r="G26" i="24"/>
  <c r="F26" i="24"/>
  <c r="E26" i="24"/>
  <c r="D26" i="24"/>
  <c r="C26" i="24"/>
  <c r="L25" i="24"/>
  <c r="K25" i="24"/>
  <c r="J25" i="24"/>
  <c r="I25" i="24"/>
  <c r="H25" i="24"/>
  <c r="G25" i="24"/>
  <c r="F25" i="24"/>
  <c r="E25" i="24"/>
  <c r="D25" i="24"/>
  <c r="C25" i="24"/>
  <c r="L24" i="24"/>
  <c r="K24" i="24"/>
  <c r="J24" i="24"/>
  <c r="I24" i="24"/>
  <c r="H24" i="24"/>
  <c r="G24" i="24"/>
  <c r="F24" i="24"/>
  <c r="E24" i="24"/>
  <c r="D24" i="24"/>
  <c r="C24" i="24"/>
  <c r="L20" i="24"/>
  <c r="K20" i="24"/>
  <c r="J20" i="24"/>
  <c r="I20" i="24"/>
  <c r="H20" i="24"/>
  <c r="G20" i="24"/>
  <c r="F20" i="24"/>
  <c r="E20" i="24"/>
  <c r="D20" i="24"/>
  <c r="C20" i="24"/>
  <c r="A20" i="24"/>
  <c r="A38" i="24"/>
  <c r="L19" i="24"/>
  <c r="K19" i="24"/>
  <c r="J19" i="24"/>
  <c r="I19" i="24"/>
  <c r="H19" i="24"/>
  <c r="G19" i="24"/>
  <c r="F19" i="24"/>
  <c r="E19" i="24"/>
  <c r="D19" i="24"/>
  <c r="C19" i="24"/>
  <c r="A19" i="24"/>
  <c r="A37" i="24"/>
  <c r="L18" i="24"/>
  <c r="K18" i="24"/>
  <c r="J18" i="24"/>
  <c r="I18" i="24"/>
  <c r="H18" i="24"/>
  <c r="G18" i="24"/>
  <c r="F18" i="24"/>
  <c r="E18" i="24"/>
  <c r="D18" i="24"/>
  <c r="C18" i="24"/>
  <c r="A18" i="24"/>
  <c r="A36" i="24"/>
  <c r="L17" i="24"/>
  <c r="K17" i="24"/>
  <c r="J17" i="24"/>
  <c r="I17" i="24"/>
  <c r="H17" i="24"/>
  <c r="G17" i="24"/>
  <c r="F17" i="24"/>
  <c r="E17" i="24"/>
  <c r="D17" i="24"/>
  <c r="C17" i="24"/>
  <c r="A17" i="24"/>
  <c r="A35" i="24"/>
  <c r="L16" i="24"/>
  <c r="K16" i="24"/>
  <c r="J16" i="24"/>
  <c r="I16" i="24"/>
  <c r="H16" i="24"/>
  <c r="G16" i="24"/>
  <c r="F16" i="24"/>
  <c r="E16" i="24"/>
  <c r="D16" i="24"/>
  <c r="C16" i="24"/>
  <c r="A16" i="24"/>
  <c r="A34" i="24"/>
  <c r="L15" i="24"/>
  <c r="K15" i="24"/>
  <c r="J15" i="24"/>
  <c r="I15" i="24"/>
  <c r="H15" i="24"/>
  <c r="G15" i="24"/>
  <c r="F15" i="24"/>
  <c r="E15" i="24"/>
  <c r="D15" i="24"/>
  <c r="C15" i="24"/>
  <c r="A15" i="24"/>
  <c r="A33" i="24"/>
  <c r="L14" i="24"/>
  <c r="K14" i="24"/>
  <c r="J14" i="24"/>
  <c r="I14" i="24"/>
  <c r="H14" i="24"/>
  <c r="G14" i="24"/>
  <c r="F14" i="24"/>
  <c r="E14" i="24"/>
  <c r="D14" i="24"/>
  <c r="C14" i="24"/>
  <c r="A14" i="24"/>
  <c r="A32" i="24"/>
  <c r="L13" i="24"/>
  <c r="K13" i="24"/>
  <c r="J13" i="24"/>
  <c r="I13" i="24"/>
  <c r="H13" i="24"/>
  <c r="G13" i="24"/>
  <c r="F13" i="24"/>
  <c r="E13" i="24"/>
  <c r="D13" i="24"/>
  <c r="C13" i="24"/>
  <c r="A13" i="24"/>
  <c r="A31" i="24"/>
  <c r="L12" i="24"/>
  <c r="K12" i="24"/>
  <c r="J12" i="24"/>
  <c r="I12" i="24"/>
  <c r="H12" i="24"/>
  <c r="G12" i="24"/>
  <c r="F12" i="24"/>
  <c r="E12" i="24"/>
  <c r="D12" i="24"/>
  <c r="C12" i="24"/>
  <c r="A12" i="24"/>
  <c r="A30" i="24"/>
  <c r="L11" i="24"/>
  <c r="K11" i="24"/>
  <c r="J11" i="24"/>
  <c r="I11" i="24"/>
  <c r="H11" i="24"/>
  <c r="G11" i="24"/>
  <c r="F11" i="24"/>
  <c r="E11" i="24"/>
  <c r="D11" i="24"/>
  <c r="C11" i="24"/>
  <c r="A11" i="24"/>
  <c r="A29" i="24"/>
  <c r="L10" i="24"/>
  <c r="K10" i="24"/>
  <c r="J10" i="24"/>
  <c r="I10" i="24"/>
  <c r="H10" i="24"/>
  <c r="G10" i="24"/>
  <c r="F10" i="24"/>
  <c r="E10" i="24"/>
  <c r="D10" i="24"/>
  <c r="C10" i="24"/>
  <c r="A10" i="24"/>
  <c r="A28" i="24"/>
  <c r="L9" i="24"/>
  <c r="K9" i="24"/>
  <c r="J9" i="24"/>
  <c r="I9" i="24"/>
  <c r="H9" i="24"/>
  <c r="G9" i="24"/>
  <c r="F9" i="24"/>
  <c r="E9" i="24"/>
  <c r="D9" i="24"/>
  <c r="C9" i="24"/>
  <c r="A9" i="24"/>
  <c r="A27" i="24"/>
  <c r="L8" i="24"/>
  <c r="K8" i="24"/>
  <c r="J8" i="24"/>
  <c r="I8" i="24"/>
  <c r="H8" i="24"/>
  <c r="G8" i="24"/>
  <c r="F8" i="24"/>
  <c r="E8" i="24"/>
  <c r="D8" i="24"/>
  <c r="C8" i="24"/>
  <c r="A8" i="24"/>
  <c r="A26" i="24"/>
  <c r="L7" i="24"/>
  <c r="K7" i="24"/>
  <c r="J7" i="24"/>
  <c r="I7" i="24"/>
  <c r="H7" i="24"/>
  <c r="G7" i="24"/>
  <c r="F7" i="24"/>
  <c r="E7" i="24"/>
  <c r="D7" i="24"/>
  <c r="C7" i="24"/>
  <c r="A7" i="24"/>
  <c r="A25" i="24"/>
  <c r="L6" i="24"/>
  <c r="K6" i="24"/>
  <c r="J6" i="24"/>
  <c r="I6" i="24"/>
  <c r="H6" i="24"/>
  <c r="G6" i="24"/>
  <c r="F6" i="24"/>
  <c r="E6" i="24"/>
  <c r="D6" i="24"/>
  <c r="C6" i="24"/>
  <c r="A6" i="24"/>
  <c r="A24" i="24"/>
  <c r="L3" i="24"/>
  <c r="K3" i="24"/>
  <c r="J3" i="24"/>
  <c r="I3" i="24"/>
  <c r="H3" i="24"/>
  <c r="G3" i="24"/>
  <c r="F3" i="24"/>
  <c r="E3" i="24"/>
  <c r="D3" i="24"/>
  <c r="C3" i="24"/>
  <c r="J2" i="24"/>
  <c r="F2" i="24"/>
  <c r="E2" i="24"/>
  <c r="D2" i="24"/>
  <c r="C2" i="24"/>
  <c r="B2" i="24"/>
  <c r="A2" i="24"/>
  <c r="C39" i="24"/>
  <c r="K39" i="24"/>
  <c r="D39" i="24"/>
  <c r="L39" i="24"/>
  <c r="I21" i="24"/>
  <c r="E39" i="24"/>
  <c r="I39" i="24"/>
  <c r="J21" i="24"/>
  <c r="F39" i="24"/>
  <c r="D21" i="24"/>
  <c r="L21" i="24"/>
  <c r="K21" i="24"/>
  <c r="G39" i="24"/>
  <c r="E21" i="24"/>
  <c r="H39" i="24"/>
  <c r="C21" i="24"/>
  <c r="H21" i="24"/>
  <c r="G21" i="24"/>
  <c r="F21" i="24"/>
  <c r="J39" i="24"/>
  <c r="L63" i="24"/>
  <c r="L85" i="24"/>
  <c r="E85" i="24"/>
  <c r="D85" i="24"/>
  <c r="G63" i="24"/>
  <c r="G85" i="24"/>
  <c r="C40" i="24"/>
  <c r="I40" i="24"/>
  <c r="K40" i="24"/>
  <c r="G40" i="24"/>
  <c r="H40" i="24"/>
  <c r="L40" i="24"/>
  <c r="J40" i="24"/>
  <c r="F40" i="24"/>
  <c r="E40" i="24"/>
  <c r="D40" i="24"/>
  <c r="A48" i="22"/>
  <c r="X47" i="22"/>
  <c r="W47" i="22"/>
  <c r="V47" i="22"/>
  <c r="U47" i="22"/>
  <c r="T47" i="22"/>
  <c r="S47" i="22"/>
  <c r="R47" i="22"/>
  <c r="Q47" i="22"/>
  <c r="P47" i="22"/>
  <c r="O47" i="22"/>
  <c r="N47" i="22"/>
  <c r="M47" i="22"/>
  <c r="A47" i="22"/>
  <c r="L39" i="22"/>
  <c r="K39" i="22"/>
  <c r="J39" i="22"/>
  <c r="I39" i="22"/>
  <c r="H39" i="22"/>
  <c r="G39" i="22"/>
  <c r="F39" i="22"/>
  <c r="E39" i="22"/>
  <c r="D39" i="22"/>
  <c r="C39" i="22"/>
  <c r="L38" i="22"/>
  <c r="K38" i="22"/>
  <c r="I38" i="22"/>
  <c r="H38" i="22"/>
  <c r="G38" i="22"/>
  <c r="X35" i="22"/>
  <c r="W35" i="22"/>
  <c r="V35" i="22"/>
  <c r="U35" i="22"/>
  <c r="T35" i="22"/>
  <c r="S35" i="22"/>
  <c r="R35" i="22"/>
  <c r="Q35" i="22"/>
  <c r="P35" i="22"/>
  <c r="O35" i="22"/>
  <c r="N35" i="22"/>
  <c r="M35" i="22"/>
  <c r="L33" i="22"/>
  <c r="K33" i="22"/>
  <c r="J33" i="22"/>
  <c r="I33" i="22"/>
  <c r="H33" i="22"/>
  <c r="G33" i="22"/>
  <c r="F33" i="22"/>
  <c r="E33" i="22"/>
  <c r="D33" i="22"/>
  <c r="C33" i="22"/>
  <c r="L32" i="22"/>
  <c r="K32" i="22"/>
  <c r="J32" i="22"/>
  <c r="I32" i="22"/>
  <c r="H32" i="22"/>
  <c r="G32" i="22"/>
  <c r="F32" i="22"/>
  <c r="E32" i="22"/>
  <c r="D32" i="22"/>
  <c r="C32" i="22"/>
  <c r="L31" i="22"/>
  <c r="K31" i="22"/>
  <c r="J31" i="22"/>
  <c r="I31" i="22"/>
  <c r="H31" i="22"/>
  <c r="G31" i="22"/>
  <c r="F31" i="22"/>
  <c r="E31" i="22"/>
  <c r="D31" i="22"/>
  <c r="C31" i="22"/>
  <c r="L29" i="22"/>
  <c r="K29" i="22"/>
  <c r="J29" i="22"/>
  <c r="I29" i="22"/>
  <c r="H29" i="22"/>
  <c r="G29" i="22"/>
  <c r="F29" i="22"/>
  <c r="E29" i="22"/>
  <c r="D29" i="22"/>
  <c r="C29" i="22"/>
  <c r="L27" i="22"/>
  <c r="K27" i="22"/>
  <c r="J27" i="22"/>
  <c r="I27" i="22"/>
  <c r="H27" i="22"/>
  <c r="G27" i="22"/>
  <c r="F27" i="22"/>
  <c r="E27" i="22"/>
  <c r="D27" i="22"/>
  <c r="C27" i="22"/>
  <c r="L24" i="22"/>
  <c r="K24" i="22"/>
  <c r="J24" i="22"/>
  <c r="I24" i="22"/>
  <c r="H24" i="22"/>
  <c r="G24" i="22"/>
  <c r="F24" i="22"/>
  <c r="E24" i="22"/>
  <c r="D24" i="22"/>
  <c r="C24" i="22"/>
  <c r="X21" i="22"/>
  <c r="X37" i="22"/>
  <c r="W21" i="22"/>
  <c r="W37" i="22"/>
  <c r="V21" i="22"/>
  <c r="V37" i="22"/>
  <c r="U21" i="22"/>
  <c r="U37" i="22"/>
  <c r="T21" i="22"/>
  <c r="T37" i="22"/>
  <c r="S21" i="22"/>
  <c r="S37" i="22"/>
  <c r="R21" i="22"/>
  <c r="R37" i="22"/>
  <c r="Q21" i="22"/>
  <c r="Q37" i="22"/>
  <c r="P21" i="22"/>
  <c r="P37" i="22"/>
  <c r="O21" i="22"/>
  <c r="O37" i="22"/>
  <c r="N21" i="22"/>
  <c r="N37" i="22"/>
  <c r="M21" i="22"/>
  <c r="M37" i="22"/>
  <c r="L19" i="22"/>
  <c r="K19" i="22"/>
  <c r="J19" i="22"/>
  <c r="I19" i="22"/>
  <c r="H19" i="22"/>
  <c r="G19" i="22"/>
  <c r="F19" i="22"/>
  <c r="E19" i="22"/>
  <c r="D19" i="22"/>
  <c r="C19" i="22"/>
  <c r="E18" i="22"/>
  <c r="L9" i="22"/>
  <c r="K9" i="22"/>
  <c r="J9" i="22"/>
  <c r="I9" i="22"/>
  <c r="H9" i="22"/>
  <c r="G9" i="22"/>
  <c r="F9" i="22"/>
  <c r="E9" i="22"/>
  <c r="D9" i="22"/>
  <c r="C9" i="22"/>
  <c r="L8" i="22"/>
  <c r="K8" i="22"/>
  <c r="J8" i="22"/>
  <c r="I8" i="22"/>
  <c r="H8" i="22"/>
  <c r="G8" i="22"/>
  <c r="F8" i="22"/>
  <c r="E8" i="22"/>
  <c r="D8" i="22"/>
  <c r="C8" i="22"/>
  <c r="L7" i="22"/>
  <c r="K7" i="22"/>
  <c r="J7" i="22"/>
  <c r="I7" i="22"/>
  <c r="H7" i="22"/>
  <c r="G7" i="22"/>
  <c r="F7" i="22"/>
  <c r="E7" i="22"/>
  <c r="D7" i="22"/>
  <c r="C7" i="22"/>
  <c r="L6" i="22"/>
  <c r="K6" i="22"/>
  <c r="J6" i="22"/>
  <c r="I6" i="22"/>
  <c r="H6" i="22"/>
  <c r="G6" i="22"/>
  <c r="F6" i="22"/>
  <c r="E6" i="22"/>
  <c r="D6" i="22"/>
  <c r="C6" i="22"/>
  <c r="L5" i="22"/>
  <c r="K5" i="22"/>
  <c r="J5" i="22"/>
  <c r="I5" i="22"/>
  <c r="H5" i="22"/>
  <c r="G5" i="22"/>
  <c r="F5" i="22"/>
  <c r="E5" i="22"/>
  <c r="D5" i="22"/>
  <c r="C5" i="22"/>
  <c r="X3" i="22"/>
  <c r="W3" i="22"/>
  <c r="V3" i="22"/>
  <c r="U3" i="22"/>
  <c r="T3" i="22"/>
  <c r="S3" i="22"/>
  <c r="R3" i="22"/>
  <c r="Q3" i="22"/>
  <c r="P3" i="22"/>
  <c r="O3" i="22"/>
  <c r="N3" i="22"/>
  <c r="M3" i="22"/>
  <c r="L3" i="22"/>
  <c r="K3" i="22"/>
  <c r="J3" i="22"/>
  <c r="I3" i="22"/>
  <c r="H3" i="22"/>
  <c r="G3" i="22"/>
  <c r="F3" i="22"/>
  <c r="E3" i="22"/>
  <c r="D3" i="22"/>
  <c r="C3" i="22"/>
  <c r="M2" i="22"/>
  <c r="J2" i="22"/>
  <c r="F2" i="22"/>
  <c r="E2" i="22"/>
  <c r="D2" i="22"/>
  <c r="C2" i="22"/>
  <c r="B2" i="22"/>
  <c r="A2" i="22"/>
  <c r="A1" i="22"/>
  <c r="A107" i="21"/>
  <c r="S53" i="21"/>
  <c r="S104" i="21"/>
  <c r="S106" i="21"/>
  <c r="A106" i="21"/>
  <c r="W104" i="21"/>
  <c r="V104" i="21"/>
  <c r="U104" i="21"/>
  <c r="T104" i="21"/>
  <c r="R104" i="21"/>
  <c r="Q104" i="21"/>
  <c r="P104" i="21"/>
  <c r="O104" i="21"/>
  <c r="N104" i="21"/>
  <c r="M104" i="21"/>
  <c r="L104" i="21"/>
  <c r="I56" i="21"/>
  <c r="I59" i="21"/>
  <c r="I70" i="21"/>
  <c r="I72" i="21"/>
  <c r="I77" i="21"/>
  <c r="I79" i="21"/>
  <c r="I81" i="21"/>
  <c r="I85" i="21"/>
  <c r="I89" i="21"/>
  <c r="I94" i="21"/>
  <c r="I96" i="21"/>
  <c r="I98" i="21"/>
  <c r="I100" i="21"/>
  <c r="I102" i="21"/>
  <c r="I92" i="21"/>
  <c r="I104" i="21"/>
  <c r="I113" i="21"/>
  <c r="K102" i="21"/>
  <c r="J102" i="21"/>
  <c r="H102" i="21"/>
  <c r="G102" i="21"/>
  <c r="F102" i="21"/>
  <c r="E102" i="21"/>
  <c r="D102" i="21"/>
  <c r="C102" i="21"/>
  <c r="K100" i="21"/>
  <c r="J100" i="21"/>
  <c r="H100" i="21"/>
  <c r="G100" i="21"/>
  <c r="F100" i="21"/>
  <c r="E100" i="21"/>
  <c r="D100" i="21"/>
  <c r="C100" i="21"/>
  <c r="K98" i="21"/>
  <c r="J98" i="21"/>
  <c r="H98" i="21"/>
  <c r="G98" i="21"/>
  <c r="F98" i="21"/>
  <c r="E98" i="21"/>
  <c r="D98" i="21"/>
  <c r="C98" i="21"/>
  <c r="K96" i="21"/>
  <c r="J96" i="21"/>
  <c r="H96" i="21"/>
  <c r="G96" i="21"/>
  <c r="F96" i="21"/>
  <c r="E96" i="21"/>
  <c r="D96" i="21"/>
  <c r="C96" i="21"/>
  <c r="K94" i="21"/>
  <c r="J94" i="21"/>
  <c r="H94" i="21"/>
  <c r="G94" i="21"/>
  <c r="F94" i="21"/>
  <c r="E94" i="21"/>
  <c r="D94" i="21"/>
  <c r="C94" i="21"/>
  <c r="K92" i="21"/>
  <c r="J92" i="21"/>
  <c r="H92" i="21"/>
  <c r="G92" i="21"/>
  <c r="F92" i="21"/>
  <c r="E92" i="21"/>
  <c r="D92" i="21"/>
  <c r="C92" i="21"/>
  <c r="K89" i="21"/>
  <c r="J89" i="21"/>
  <c r="H89" i="21"/>
  <c r="G89" i="21"/>
  <c r="F89" i="21"/>
  <c r="E89" i="21"/>
  <c r="D89" i="21"/>
  <c r="C89" i="21"/>
  <c r="K85" i="21"/>
  <c r="J85" i="21"/>
  <c r="H85" i="21"/>
  <c r="G85" i="21"/>
  <c r="F85" i="21"/>
  <c r="E85" i="21"/>
  <c r="D85" i="21"/>
  <c r="C85" i="21"/>
  <c r="K81" i="21"/>
  <c r="J81" i="21"/>
  <c r="H81" i="21"/>
  <c r="G81" i="21"/>
  <c r="F81" i="21"/>
  <c r="E81" i="21"/>
  <c r="D81" i="21"/>
  <c r="C81" i="21"/>
  <c r="K79" i="21"/>
  <c r="J79" i="21"/>
  <c r="H79" i="21"/>
  <c r="G79" i="21"/>
  <c r="F79" i="21"/>
  <c r="E79" i="21"/>
  <c r="D79" i="21"/>
  <c r="C79" i="21"/>
  <c r="K77" i="21"/>
  <c r="J77" i="21"/>
  <c r="H77" i="21"/>
  <c r="G77" i="21"/>
  <c r="F77" i="21"/>
  <c r="E77" i="21"/>
  <c r="D77" i="21"/>
  <c r="C77" i="21"/>
  <c r="K72" i="21"/>
  <c r="J72" i="21"/>
  <c r="H72" i="21"/>
  <c r="G72" i="21"/>
  <c r="F72" i="21"/>
  <c r="E72" i="21"/>
  <c r="D72" i="21"/>
  <c r="C72" i="21"/>
  <c r="K70" i="21"/>
  <c r="J70" i="21"/>
  <c r="H70" i="21"/>
  <c r="G70" i="21"/>
  <c r="F70" i="21"/>
  <c r="E70" i="21"/>
  <c r="D70" i="21"/>
  <c r="C70" i="21"/>
  <c r="K59" i="21"/>
  <c r="J59" i="21"/>
  <c r="H59" i="21"/>
  <c r="G59" i="21"/>
  <c r="F59" i="21"/>
  <c r="E59" i="21"/>
  <c r="D59" i="21"/>
  <c r="C59" i="21"/>
  <c r="K56" i="21"/>
  <c r="K104" i="21"/>
  <c r="K113" i="21"/>
  <c r="J56" i="21"/>
  <c r="J104" i="21"/>
  <c r="J113" i="21"/>
  <c r="H56" i="21"/>
  <c r="H104" i="21"/>
  <c r="H113" i="21"/>
  <c r="G56" i="21"/>
  <c r="G104" i="21"/>
  <c r="G113" i="21"/>
  <c r="F56" i="21"/>
  <c r="F104" i="21"/>
  <c r="F113" i="21"/>
  <c r="E56" i="21"/>
  <c r="E104" i="21"/>
  <c r="E113" i="21"/>
  <c r="D56" i="21"/>
  <c r="D104" i="21"/>
  <c r="D113" i="21"/>
  <c r="C56" i="21"/>
  <c r="C104" i="21"/>
  <c r="C113" i="21"/>
  <c r="W53" i="21"/>
  <c r="W106" i="21"/>
  <c r="V53" i="21"/>
  <c r="V106" i="21"/>
  <c r="U53" i="21"/>
  <c r="U106" i="21"/>
  <c r="T53" i="21"/>
  <c r="T106" i="21"/>
  <c r="R53" i="21"/>
  <c r="R106" i="21"/>
  <c r="Q53" i="21"/>
  <c r="Q106" i="21"/>
  <c r="P53" i="21"/>
  <c r="P106" i="21"/>
  <c r="O53" i="21"/>
  <c r="O106" i="21"/>
  <c r="N53" i="21"/>
  <c r="N106" i="21"/>
  <c r="M53" i="21"/>
  <c r="M106" i="21"/>
  <c r="L53" i="21"/>
  <c r="L106" i="21"/>
  <c r="J5" i="21"/>
  <c r="J8" i="21"/>
  <c r="J19" i="21"/>
  <c r="J21" i="21"/>
  <c r="J26" i="21"/>
  <c r="J28" i="21"/>
  <c r="J30" i="21"/>
  <c r="J34" i="21"/>
  <c r="J38" i="21"/>
  <c r="J41" i="21"/>
  <c r="J43" i="21"/>
  <c r="J45" i="21"/>
  <c r="J47" i="21"/>
  <c r="J49" i="21"/>
  <c r="J51" i="21"/>
  <c r="J53" i="21"/>
  <c r="A52" i="21"/>
  <c r="A103" i="21"/>
  <c r="K51" i="21"/>
  <c r="I51" i="21"/>
  <c r="H51" i="21"/>
  <c r="G51" i="21"/>
  <c r="F51" i="21"/>
  <c r="E51" i="21"/>
  <c r="D51" i="21"/>
  <c r="C51" i="21"/>
  <c r="A51" i="21"/>
  <c r="A102" i="21"/>
  <c r="A50" i="21"/>
  <c r="A101" i="21"/>
  <c r="K49" i="21"/>
  <c r="I49" i="21"/>
  <c r="H49" i="21"/>
  <c r="G49" i="21"/>
  <c r="F49" i="21"/>
  <c r="E49" i="21"/>
  <c r="D49" i="21"/>
  <c r="C49" i="21"/>
  <c r="A49" i="21"/>
  <c r="A100" i="21"/>
  <c r="A48" i="21"/>
  <c r="A99" i="21"/>
  <c r="K47" i="21"/>
  <c r="I47" i="21"/>
  <c r="H47" i="21"/>
  <c r="G47" i="21"/>
  <c r="F47" i="21"/>
  <c r="E47" i="21"/>
  <c r="D47" i="21"/>
  <c r="C47" i="21"/>
  <c r="A47" i="21"/>
  <c r="A98" i="21"/>
  <c r="A46" i="21"/>
  <c r="A97" i="21"/>
  <c r="K45" i="21"/>
  <c r="I45" i="21"/>
  <c r="H45" i="21"/>
  <c r="G45" i="21"/>
  <c r="F45" i="21"/>
  <c r="E45" i="21"/>
  <c r="D45" i="21"/>
  <c r="C45" i="21"/>
  <c r="A45" i="21"/>
  <c r="A96" i="21"/>
  <c r="A44" i="21"/>
  <c r="A95" i="21"/>
  <c r="K43" i="21"/>
  <c r="I43" i="21"/>
  <c r="H43" i="21"/>
  <c r="G43" i="21"/>
  <c r="F43" i="21"/>
  <c r="E43" i="21"/>
  <c r="D43" i="21"/>
  <c r="C43" i="21"/>
  <c r="A43" i="21"/>
  <c r="A94" i="21"/>
  <c r="A42" i="21"/>
  <c r="A93" i="21"/>
  <c r="K41" i="21"/>
  <c r="I41" i="21"/>
  <c r="H41" i="21"/>
  <c r="G41" i="21"/>
  <c r="F41" i="21"/>
  <c r="E41" i="21"/>
  <c r="D41" i="21"/>
  <c r="C41" i="21"/>
  <c r="A41" i="21"/>
  <c r="A92" i="21"/>
  <c r="A40" i="21"/>
  <c r="A91" i="21"/>
  <c r="A39" i="21"/>
  <c r="A90" i="21"/>
  <c r="K38" i="21"/>
  <c r="I38" i="21"/>
  <c r="H38" i="21"/>
  <c r="G38" i="21"/>
  <c r="F38" i="21"/>
  <c r="E38" i="21"/>
  <c r="D38" i="21"/>
  <c r="C38" i="21"/>
  <c r="A38" i="21"/>
  <c r="A89" i="21"/>
  <c r="A37" i="21"/>
  <c r="A88" i="21"/>
  <c r="A36" i="21"/>
  <c r="A87" i="21"/>
  <c r="A35" i="21"/>
  <c r="A86" i="21"/>
  <c r="K34" i="21"/>
  <c r="I34" i="21"/>
  <c r="H34" i="21"/>
  <c r="G34" i="21"/>
  <c r="F34" i="21"/>
  <c r="E34" i="21"/>
  <c r="D34" i="21"/>
  <c r="C34" i="21"/>
  <c r="A34" i="21"/>
  <c r="A85" i="21"/>
  <c r="A33" i="21"/>
  <c r="A84" i="21"/>
  <c r="A32" i="21"/>
  <c r="A83" i="21"/>
  <c r="A31" i="21"/>
  <c r="A82" i="21"/>
  <c r="K30" i="21"/>
  <c r="I30" i="21"/>
  <c r="H30" i="21"/>
  <c r="G30" i="21"/>
  <c r="F30" i="21"/>
  <c r="E30" i="21"/>
  <c r="D30" i="21"/>
  <c r="C30" i="21"/>
  <c r="A30" i="21"/>
  <c r="A81" i="21"/>
  <c r="A29" i="21"/>
  <c r="A80" i="21"/>
  <c r="K28" i="21"/>
  <c r="I28" i="21"/>
  <c r="H28" i="21"/>
  <c r="G28" i="21"/>
  <c r="F28" i="21"/>
  <c r="E28" i="21"/>
  <c r="D28" i="21"/>
  <c r="C28" i="21"/>
  <c r="A28" i="21"/>
  <c r="A79" i="21"/>
  <c r="A27" i="21"/>
  <c r="A78" i="21"/>
  <c r="K26" i="21"/>
  <c r="I26" i="21"/>
  <c r="H26" i="21"/>
  <c r="G26" i="21"/>
  <c r="F26" i="21"/>
  <c r="E26" i="21"/>
  <c r="D26" i="21"/>
  <c r="C26" i="21"/>
  <c r="A26" i="21"/>
  <c r="A77" i="21"/>
  <c r="A25" i="21"/>
  <c r="A76" i="21"/>
  <c r="A24" i="21"/>
  <c r="A75" i="21"/>
  <c r="A23" i="21"/>
  <c r="A74" i="21"/>
  <c r="A22" i="21"/>
  <c r="A73" i="21"/>
  <c r="K21" i="21"/>
  <c r="I21" i="21"/>
  <c r="H21" i="21"/>
  <c r="G21" i="21"/>
  <c r="F21" i="21"/>
  <c r="E21" i="21"/>
  <c r="D21" i="21"/>
  <c r="C21" i="21"/>
  <c r="A21" i="21"/>
  <c r="A72" i="21"/>
  <c r="A20" i="21"/>
  <c r="A71" i="21"/>
  <c r="K19" i="21"/>
  <c r="I19" i="21"/>
  <c r="H19" i="21"/>
  <c r="G19" i="21"/>
  <c r="F19" i="21"/>
  <c r="E19" i="21"/>
  <c r="D19" i="21"/>
  <c r="C19" i="21"/>
  <c r="A19" i="21"/>
  <c r="A70" i="21"/>
  <c r="A18" i="21"/>
  <c r="A69" i="21"/>
  <c r="A17" i="21"/>
  <c r="A68" i="21"/>
  <c r="A16" i="21"/>
  <c r="A67" i="21"/>
  <c r="A15" i="21"/>
  <c r="A66" i="21"/>
  <c r="A14" i="21"/>
  <c r="A65" i="21"/>
  <c r="A13" i="21"/>
  <c r="A64" i="21"/>
  <c r="A12" i="21"/>
  <c r="A63" i="21"/>
  <c r="H11" i="21"/>
  <c r="G11" i="21"/>
  <c r="A11" i="21"/>
  <c r="A62" i="21"/>
  <c r="A10" i="21"/>
  <c r="A61" i="21"/>
  <c r="A9" i="21"/>
  <c r="A60" i="21"/>
  <c r="K8" i="21"/>
  <c r="I8" i="21"/>
  <c r="H8" i="21"/>
  <c r="G8" i="21"/>
  <c r="F8" i="21"/>
  <c r="E8" i="21"/>
  <c r="D8" i="21"/>
  <c r="C8" i="21"/>
  <c r="A8" i="21"/>
  <c r="A59" i="21"/>
  <c r="A7" i="21"/>
  <c r="A58" i="21"/>
  <c r="A6" i="21"/>
  <c r="A57" i="21"/>
  <c r="K5" i="21"/>
  <c r="K53" i="21"/>
  <c r="I5" i="21"/>
  <c r="I53" i="21"/>
  <c r="H5" i="21"/>
  <c r="H53" i="21"/>
  <c r="G5" i="21"/>
  <c r="G53" i="21"/>
  <c r="F5" i="21"/>
  <c r="F53" i="21"/>
  <c r="E5" i="21"/>
  <c r="E53" i="21"/>
  <c r="D5" i="21"/>
  <c r="D53" i="21"/>
  <c r="C5" i="21"/>
  <c r="C53" i="21"/>
  <c r="A5" i="21"/>
  <c r="A56" i="21"/>
  <c r="W3" i="21"/>
  <c r="V3" i="21"/>
  <c r="U3" i="21"/>
  <c r="T3" i="21"/>
  <c r="S3" i="21"/>
  <c r="R3" i="21"/>
  <c r="Q3" i="21"/>
  <c r="P3" i="21"/>
  <c r="O3" i="21"/>
  <c r="N3" i="21"/>
  <c r="M3" i="21"/>
  <c r="L3" i="21"/>
  <c r="K3" i="21"/>
  <c r="J3" i="21"/>
  <c r="I3" i="21"/>
  <c r="H3" i="21"/>
  <c r="G3" i="21"/>
  <c r="F3" i="21"/>
  <c r="E3" i="21"/>
  <c r="D3" i="21"/>
  <c r="C3" i="21"/>
  <c r="L2" i="21"/>
  <c r="I2" i="21"/>
  <c r="F2" i="21"/>
  <c r="E2" i="21"/>
  <c r="D2" i="21"/>
  <c r="C2" i="21"/>
  <c r="B2" i="21"/>
  <c r="A2" i="21"/>
  <c r="A1" i="21"/>
  <c r="I35" i="22"/>
  <c r="C21" i="22"/>
  <c r="C59" i="22"/>
  <c r="K21" i="22"/>
  <c r="K59" i="22"/>
  <c r="F35" i="22"/>
  <c r="H21" i="22"/>
  <c r="H59" i="22"/>
  <c r="J21" i="22"/>
  <c r="J59" i="22"/>
  <c r="D21" i="22"/>
  <c r="D59" i="22"/>
  <c r="L21" i="22"/>
  <c r="J35" i="22"/>
  <c r="E21" i="22"/>
  <c r="C35" i="22"/>
  <c r="K35" i="22"/>
  <c r="F21" i="22"/>
  <c r="F59" i="22"/>
  <c r="D35" i="22"/>
  <c r="L35" i="22"/>
  <c r="H35" i="22"/>
  <c r="G21" i="22"/>
  <c r="G59" i="22"/>
  <c r="E35" i="22"/>
  <c r="I21" i="22"/>
  <c r="I59" i="22"/>
  <c r="G35" i="22"/>
  <c r="D112" i="21"/>
  <c r="D106" i="21"/>
  <c r="K112" i="21"/>
  <c r="K106" i="21"/>
  <c r="E112" i="21"/>
  <c r="E106" i="21"/>
  <c r="C112" i="21"/>
  <c r="C106" i="21"/>
  <c r="F106" i="21"/>
  <c r="F112" i="21"/>
  <c r="G106" i="21"/>
  <c r="G112" i="21"/>
  <c r="H106" i="21"/>
  <c r="H112" i="21"/>
  <c r="J106" i="21"/>
  <c r="I106" i="21"/>
  <c r="I112" i="21"/>
  <c r="J112" i="21"/>
  <c r="D37" i="22"/>
  <c r="D41" i="22"/>
  <c r="D43" i="22"/>
  <c r="D45" i="22"/>
  <c r="D47" i="22"/>
  <c r="L37" i="22"/>
  <c r="L41" i="22"/>
  <c r="L43" i="22"/>
  <c r="L45" i="22"/>
  <c r="L57" i="22"/>
  <c r="E37" i="22"/>
  <c r="E41" i="22"/>
  <c r="E43" i="22"/>
  <c r="E45" i="22"/>
  <c r="E57" i="22"/>
  <c r="L59" i="22"/>
  <c r="E59" i="22"/>
  <c r="C37" i="22"/>
  <c r="C41" i="22"/>
  <c r="C43" i="22"/>
  <c r="C45" i="22"/>
  <c r="C47" i="22"/>
  <c r="I37" i="22"/>
  <c r="I41" i="22"/>
  <c r="I43" i="22"/>
  <c r="I45" i="22"/>
  <c r="I47" i="22"/>
  <c r="H37" i="22"/>
  <c r="H41" i="22"/>
  <c r="H43" i="22"/>
  <c r="H45" i="22"/>
  <c r="H47" i="22"/>
  <c r="K37" i="22"/>
  <c r="K41" i="22"/>
  <c r="K43" i="22"/>
  <c r="K45" i="22"/>
  <c r="K57" i="22"/>
  <c r="J37" i="22"/>
  <c r="J41" i="22"/>
  <c r="J43" i="22"/>
  <c r="J45" i="22"/>
  <c r="J57" i="22"/>
  <c r="G37" i="22"/>
  <c r="G41" i="22"/>
  <c r="G43" i="22"/>
  <c r="G45" i="22"/>
  <c r="G57" i="22"/>
  <c r="F37" i="22"/>
  <c r="F41" i="22"/>
  <c r="F43" i="22"/>
  <c r="F45" i="22"/>
  <c r="F47" i="22"/>
  <c r="L47" i="22"/>
  <c r="C57" i="22"/>
  <c r="D57" i="22"/>
  <c r="H57" i="22"/>
  <c r="K47" i="22"/>
  <c r="E47" i="22"/>
  <c r="J47" i="22"/>
  <c r="G47" i="22"/>
  <c r="F57" i="22"/>
</calcChain>
</file>

<file path=xl/sharedStrings.xml><?xml version="1.0" encoding="utf-8"?>
<sst xmlns="http://schemas.openxmlformats.org/spreadsheetml/2006/main" count="2511" uniqueCount="1024">
  <si>
    <t>Vote Nr</t>
  </si>
  <si>
    <t>Region</t>
  </si>
  <si>
    <t>Strategic Objective</t>
  </si>
  <si>
    <t xml:space="preserve">Programme </t>
  </si>
  <si>
    <t>Project Name</t>
  </si>
  <si>
    <t>Start Date</t>
  </si>
  <si>
    <t>Completion date</t>
  </si>
  <si>
    <t>Project Owner</t>
  </si>
  <si>
    <t>Source of funding</t>
  </si>
  <si>
    <t>Evidence required</t>
  </si>
  <si>
    <t>Access to Sustainable Basic Services</t>
  </si>
  <si>
    <t>GLM</t>
  </si>
  <si>
    <t>N/A</t>
  </si>
  <si>
    <t>Sports &amp; Recreation</t>
  </si>
  <si>
    <t>Mamanyoha Sports Complex</t>
  </si>
  <si>
    <t>Thakgalane Sports Complex</t>
  </si>
  <si>
    <t>Rotterdam Sports Complex</t>
  </si>
  <si>
    <t>Director COMM</t>
  </si>
  <si>
    <t>Roads &amp; Stormwater</t>
  </si>
  <si>
    <t>Head Office</t>
  </si>
  <si>
    <t>Property Services</t>
  </si>
  <si>
    <t>Electricity</t>
  </si>
  <si>
    <t>Kgapane Stadium Phase 3</t>
  </si>
  <si>
    <t>MIG</t>
  </si>
  <si>
    <t>Information Technology</t>
  </si>
  <si>
    <t>Head office</t>
  </si>
  <si>
    <t>Rotterdam Library</t>
  </si>
  <si>
    <t>Ward 5 Community Hall (Planning)</t>
  </si>
  <si>
    <t>Community Halls &amp; Facilities</t>
  </si>
  <si>
    <t>All Wards</t>
  </si>
  <si>
    <t>All</t>
  </si>
  <si>
    <t>Waste Management</t>
  </si>
  <si>
    <t>Upgrade of Electricity to NERSA Standards-NERSA Compliance</t>
  </si>
  <si>
    <t xml:space="preserve">Upgrading of streets- Sekgopo Moshate </t>
  </si>
  <si>
    <t xml:space="preserve">Upgrading of streets- Mamphakhate </t>
  </si>
  <si>
    <t>Las Vegas Street  paving</t>
  </si>
  <si>
    <t xml:space="preserve">Upgrading of streets- Dichosing </t>
  </si>
  <si>
    <t>Director Tech</t>
  </si>
  <si>
    <t>Director Comm</t>
  </si>
  <si>
    <t>1st Q Target</t>
  </si>
  <si>
    <t>2nd  Q Target</t>
  </si>
  <si>
    <t>3rd Q Target</t>
  </si>
  <si>
    <t>4th Q Target</t>
  </si>
  <si>
    <t xml:space="preserve">Develop Specifications and submit to SCM </t>
  </si>
  <si>
    <t>Tender Advertisement, SCM processes &amp; Appointment of service provider</t>
  </si>
  <si>
    <t>Payment Certificate and delivery note</t>
  </si>
  <si>
    <t>BASIC SERVICE DELIVERY</t>
  </si>
  <si>
    <t>Project commences</t>
  </si>
  <si>
    <t>Improved Governance and Organisational Excellence</t>
  </si>
  <si>
    <t>Director Corps</t>
  </si>
  <si>
    <t>CFO</t>
  </si>
  <si>
    <t>MUNICIPAL TRANSFORMATION</t>
  </si>
  <si>
    <t>LOCAL ECONOMIC DEVELOPMENT</t>
  </si>
  <si>
    <t>GOOD GOVERNANCE AND PUBLIC PARTICIPATION</t>
  </si>
  <si>
    <t>KPA 1 MUNICIPAL TRANSFORMATION AND ORGANISATIONAL DEVELOPMENT</t>
  </si>
  <si>
    <t>KEY PERFORMANCE INDICATORS</t>
  </si>
  <si>
    <t xml:space="preserve">OUTCOME NINE (OUTPUT 1: IMPLEMENT A DIFFERENTIATED APPROACH TO  MUNICIPAL FINANCING, PLANNING AND SUPPORT, OUTPUT 4: ACTIONS SUPPORTIVE OF THE HUMAN SETTLEMENT OUTCOMES) </t>
  </si>
  <si>
    <t>Measurable Objectives</t>
  </si>
  <si>
    <t>KPI Unit of measure</t>
  </si>
  <si>
    <t>Baseline / Status</t>
  </si>
  <si>
    <t>Responsible Person</t>
  </si>
  <si>
    <t>Evidence requires</t>
  </si>
  <si>
    <t>Improved  Governance and Organisational Excellence</t>
  </si>
  <si>
    <t>Human Resource Management</t>
  </si>
  <si>
    <t>Date</t>
  </si>
  <si>
    <t xml:space="preserve">Operational </t>
  </si>
  <si>
    <t>Director Corp</t>
  </si>
  <si>
    <t>Council Approved Organizational structure, Council Resolution</t>
  </si>
  <si>
    <t>Reducing the vacancy rate within the financial year</t>
  </si>
  <si>
    <t>Number</t>
  </si>
  <si>
    <t xml:space="preserve">Appointment letters </t>
  </si>
  <si>
    <t>Integrated Sustainable Development</t>
  </si>
  <si>
    <t>IDP</t>
  </si>
  <si>
    <t>Council Approved IDP/ Budget/ PMS Process plan, Council Resolution</t>
  </si>
  <si>
    <t>Operational</t>
  </si>
  <si>
    <t>PMS</t>
  </si>
  <si>
    <t>Municipal Manager</t>
  </si>
  <si>
    <t>Signed SDBIP by the Mayor</t>
  </si>
  <si>
    <t>To ensure quarterly reporting and compliance within the financial year</t>
  </si>
  <si>
    <t>Council approved Quarterly reports</t>
  </si>
  <si>
    <t>To ensure that S54 &amp; 56 Managers sign the performance agreements within 30 days after adoption of the final SDBIP.</t>
  </si>
  <si>
    <t>Signed Performance Agreements for Sec 54 &amp; 56 Managers</t>
  </si>
  <si>
    <t xml:space="preserve">To ensure quartely assessments for S54 &amp; 56 Managers is conducted within 30 days after the end of the quarter. </t>
  </si>
  <si>
    <t>Performance Assessments report</t>
  </si>
  <si>
    <t>To ensure municipal reporting and compliance within the financial year</t>
  </si>
  <si>
    <t>Dated proof of submission to CoGHSTA, Provincial and National Treasury</t>
  </si>
  <si>
    <t>To ensure municipal reporting and compliance</t>
  </si>
  <si>
    <t>Council approved Annual report, Council resolution</t>
  </si>
  <si>
    <t>Council approved Oversight report on the Annual report, Council resolution</t>
  </si>
  <si>
    <t>Council approved Annual report , Council  resolution</t>
  </si>
  <si>
    <t>Legal Services</t>
  </si>
  <si>
    <t>To improve effecience and effictiveness of municipal administration within the financial year</t>
  </si>
  <si>
    <t>Percentage</t>
  </si>
  <si>
    <t xml:space="preserve">Dated signed Service Level Agreements </t>
  </si>
  <si>
    <t>Internal Audit</t>
  </si>
  <si>
    <t>To conduct quarterly assessment on municipal performance within the financial year</t>
  </si>
  <si>
    <t xml:space="preserve">Number </t>
  </si>
  <si>
    <t>Performance Audit report tabled,Council resolution, report signed off by the MM</t>
  </si>
  <si>
    <t>Functionality of Audit  within the financial year</t>
  </si>
  <si>
    <t>Council approved audit action plan, Council resolution</t>
  </si>
  <si>
    <t>Approved Internal Audit Plan</t>
  </si>
  <si>
    <t>100% internal audit issues resolved (# of  Internal Audit issues resolved / # of issues raised)</t>
  </si>
  <si>
    <t>Resolved IA register/plan, POE submitted</t>
  </si>
  <si>
    <t>Resolved AG issues and POE 's submitted</t>
  </si>
  <si>
    <t>Risk management</t>
  </si>
  <si>
    <t>Resolved Risk issues and POE submitted</t>
  </si>
  <si>
    <t xml:space="preserve">KPA 2 : BASIC SERVICE DELIVERY INDICATORS
OUTPUT 2: IMPROVING ACCESS TO BASIC SERVICES, OUTPUT 3: IMPLEMENTATION OF THE COMMUNITY WORKS PROGRAMME </t>
  </si>
  <si>
    <t>Integrated and Sustainable Human Settlement</t>
  </si>
  <si>
    <t>Spatial Planning</t>
  </si>
  <si>
    <t>To ensure that land use applications are processed within 90 days of receipt.</t>
  </si>
  <si>
    <t>Dated register recording land use applications &amp; Land use applications</t>
  </si>
  <si>
    <t>Waste management</t>
  </si>
  <si>
    <t>Provision of waste removal within the financial year</t>
  </si>
  <si>
    <t>4654 HH accessed refuse removal once a week</t>
  </si>
  <si>
    <t>Rooster/ waste management reports</t>
  </si>
  <si>
    <t>To ensure provision of electricity services</t>
  </si>
  <si>
    <t xml:space="preserve">56905 HH accessed electricity </t>
  </si>
  <si>
    <t>Electricity/ Finance reports</t>
  </si>
  <si>
    <t>Legal</t>
  </si>
  <si>
    <t>To monitor the reviewal of by laws and policies within a financial year</t>
  </si>
  <si>
    <t>New</t>
  </si>
  <si>
    <t>By laws promulgated</t>
  </si>
  <si>
    <t>To ensure reduction of electricity losse s within a financial year</t>
  </si>
  <si>
    <t>Infrastructure</t>
  </si>
  <si>
    <t xml:space="preserve">Operattional </t>
  </si>
  <si>
    <t>KPA 3 : LOCAL ECONOMIC DEVELOPMENT</t>
  </si>
  <si>
    <t xml:space="preserve">OUTCOME 9: IMPLEMENTATION OF THE COMMUNITY WORK PROGRAMME </t>
  </si>
  <si>
    <t>Improved local economy</t>
  </si>
  <si>
    <t>To ensure Promotion of local economy within the financial year</t>
  </si>
  <si>
    <t>Proof for SMME s supported</t>
  </si>
  <si>
    <t>215 SMME s supported</t>
  </si>
  <si>
    <t xml:space="preserve">12 EPWP reports generated </t>
  </si>
  <si>
    <t>EPWP reports</t>
  </si>
  <si>
    <t>To ensure Coordination of Agriculture forums within the financial year</t>
  </si>
  <si>
    <t>4 Agriculture forums coordinated</t>
  </si>
  <si>
    <t>Agenda, Minutes &amp; Attendance register</t>
  </si>
  <si>
    <t xml:space="preserve">KPA 4 MUNICIPAL FINANCIAL VIABILITY
KEY PERFORMANCE INDICATORS
OUTPUT 6: ADMINISTRATIVE AND FINANCIAL CAPABILITY </t>
  </si>
  <si>
    <t>Sustainable Financial Institution</t>
  </si>
  <si>
    <t>Revenue</t>
  </si>
  <si>
    <t>To ensure improvement in revenue collection within the financial year</t>
  </si>
  <si>
    <t>Financial reports</t>
  </si>
  <si>
    <t>To monitor debt collections within a financial year</t>
  </si>
  <si>
    <t xml:space="preserve">% in debt collected (# of debt collected/                </t>
  </si>
  <si>
    <t>To monitor the implementation of municipal services within a financia year</t>
  </si>
  <si>
    <t>Expenditure Management</t>
  </si>
  <si>
    <t>Provision of free basic services within the financial year</t>
  </si>
  <si>
    <t>Updated Indigent register</t>
  </si>
  <si>
    <t>Budget and Reporting</t>
  </si>
  <si>
    <t>To ensure that quartely financial statements are prepared within 14 days after the end of each quarter.</t>
  </si>
  <si>
    <t># of quarterly financial statements submitted to Provincial Treasury</t>
  </si>
  <si>
    <t>Dated proof of submission Financial Statements</t>
  </si>
  <si>
    <t>To ensure compliance with legislation within the financial year</t>
  </si>
  <si>
    <t>Council approved Draft Budget,  Council Resolution</t>
  </si>
  <si>
    <t>21 policies approved</t>
  </si>
  <si>
    <t>Council Approved Budget related policies,  Council Resolution</t>
  </si>
  <si>
    <t>Council approved adjustment budget,  Council Resolution</t>
  </si>
  <si>
    <t>Dated proof of submission of Unaudited AFS</t>
  </si>
  <si>
    <t>Dated proof of Sec 32 register</t>
  </si>
  <si>
    <t>Not approved</t>
  </si>
  <si>
    <t>n/a</t>
  </si>
  <si>
    <t>Council approved finance by-laws,  Council Resolution</t>
  </si>
  <si>
    <t xml:space="preserve">12      Finance compliance report submitted </t>
  </si>
  <si>
    <t>Oerational</t>
  </si>
  <si>
    <t>Sec 71 reports submitted to Provincial Treasury within 10 working days</t>
  </si>
  <si>
    <t>Dated proof of submission</t>
  </si>
  <si>
    <t>Supply Chain Management</t>
  </si>
  <si>
    <t>To Improve financial viability within the financial year</t>
  </si>
  <si>
    <t>Appointment Letters</t>
  </si>
  <si>
    <t>To ensure payment of service providers within 30 days of the submission of invoices.</t>
  </si>
  <si>
    <t>Payment of invoices within 30 days of receipt from the service provider</t>
  </si>
  <si>
    <t>Dated proof of payment</t>
  </si>
  <si>
    <t>Assets Management</t>
  </si>
  <si>
    <t>Quarterly Assets verification reports</t>
  </si>
  <si>
    <t>To effectively manage the financial affairs of the municipality within the financial year</t>
  </si>
  <si>
    <t>Capital</t>
  </si>
  <si>
    <t>KPA 5 : GOOD GOVERNANCE AND PUBLIC PARTICIPATION 
KEY PERFORMANCE INDICATORS
OUTCOME 9 (OUTPUT 5: DEEPEN DEMOCRACY THROUGH A REFINED WARD  COMMITTEE MODEL, OUTPUT 6: ADMINISTRATIVE AND FINANCIAL CAPABILITY)</t>
  </si>
  <si>
    <t>Programmes</t>
  </si>
  <si>
    <t>Baseline</t>
  </si>
  <si>
    <t>Council</t>
  </si>
  <si>
    <t>To ensure functionality of Council committee within the financial year.</t>
  </si>
  <si>
    <t>12 Council meetings held</t>
  </si>
  <si>
    <t>Agenda, Minutes &amp; attandance register</t>
  </si>
  <si>
    <t>To ensure functionality of EXCO committee within the financial year.</t>
  </si>
  <si>
    <t>12 EXCO meetings held</t>
  </si>
  <si>
    <t>Committees</t>
  </si>
  <si>
    <t xml:space="preserve">348 Ward Committee reports submitted </t>
  </si>
  <si>
    <t>Manager (Mayors Office)</t>
  </si>
  <si>
    <t>To ensure functionality of Council within the financial year</t>
  </si>
  <si>
    <t>14 MPAC meetings held</t>
  </si>
  <si>
    <t>Human Resource management</t>
  </si>
  <si>
    <t>13 LLF meetings held</t>
  </si>
  <si>
    <t>Labour Relations</t>
  </si>
  <si>
    <t>To ensure functionality of Municipality within the financial year</t>
  </si>
  <si>
    <t>Updated Resolutions register</t>
  </si>
  <si>
    <t>Public Participation</t>
  </si>
  <si>
    <t>To ensure public involvement in the IDP review</t>
  </si>
  <si>
    <t>5 IDP/Budget/PMS REP Forum meetings held</t>
  </si>
  <si>
    <t>Agenda &amp; Attandance register</t>
  </si>
  <si>
    <t>To ensure public involvement in the IDP review within a financial year</t>
  </si>
  <si>
    <t>5 IDP/Budget/PMS Steering Committee meetings held</t>
  </si>
  <si>
    <t>To promote accountability within the municipality</t>
  </si>
  <si>
    <t>Updated Complaints Management Register</t>
  </si>
  <si>
    <t>To ensure public involvement in Mayoral  Imbizo 's within a financial year</t>
  </si>
  <si>
    <t>4 Mayoral Imbizo held</t>
  </si>
  <si>
    <t>To ensure functionality of Audit committee within a financial year</t>
  </si>
  <si>
    <t>Number (Accumulative)</t>
  </si>
  <si>
    <t>6 Audit Committee meetings held</t>
  </si>
  <si>
    <t>Agenda, Minutes &amp; Attandance register</t>
  </si>
  <si>
    <t>Audit Committee resolutions register</t>
  </si>
  <si>
    <t>Risk</t>
  </si>
  <si>
    <t>To ensure functionality of Risk committee within the financial year.</t>
  </si>
  <si>
    <t>Fraud &amp; Anti Corruption Strategy not reviewed</t>
  </si>
  <si>
    <t>Approved Fraud and Anti Corruption strategy</t>
  </si>
  <si>
    <t>To monitor response in terms of the fraud and corruption cases registered</t>
  </si>
  <si>
    <t xml:space="preserve"># of Fraud and Corruption cases investigated : # of cases registered / # of cases investigated yearly </t>
  </si>
  <si>
    <t xml:space="preserve"># of Fraud and Corruption cases investigated : # of cases registered / # of cases investigated quarterly </t>
  </si>
  <si>
    <t>Updated Fraud and Corruption case register</t>
  </si>
  <si>
    <t>Table of Contents</t>
  </si>
  <si>
    <t>Strategic Vision, Mission and Strategy Map</t>
  </si>
  <si>
    <t>Votes and Operational Objectives</t>
  </si>
  <si>
    <t>Municipal Transformation and Organisational Development KPI's</t>
  </si>
  <si>
    <t>Municipal Transformation and Organisational Development Projects</t>
  </si>
  <si>
    <t xml:space="preserve">Basic Service Delivery  KPI s </t>
  </si>
  <si>
    <t>Basic Service Delivery Projects</t>
  </si>
  <si>
    <t>Local Economic Development Projects</t>
  </si>
  <si>
    <t>Municipal Financial Viability KPI's</t>
  </si>
  <si>
    <t>Municipal Financial Viability Projects</t>
  </si>
  <si>
    <t>Good Governance and Public Participation KPI's</t>
  </si>
  <si>
    <t>Good Governance and Public Participation Projects</t>
  </si>
  <si>
    <t>Approval</t>
  </si>
  <si>
    <t>Dircetor Tech</t>
  </si>
  <si>
    <t>Approval by the Mayor</t>
  </si>
  <si>
    <t>The approval of the SDBIP is the competency of the Municipal Manager and Mayor. The SDBIP is a management and monitoring tool for the implementation of the IDP and Budget that must be tabled to council for noting. Any adjustment that can be made on the SDBIP must be taken to Council for Noting.</t>
  </si>
  <si>
    <t>Monitoring the implementation of the SDBIP</t>
  </si>
  <si>
    <t>Progress against the objective set out in the SDBIP will monitored and reported on a monthly, quarterly and annual basis as per the approved PMS Policy and Framework</t>
  </si>
  <si>
    <t>Signatures</t>
  </si>
  <si>
    <t>1 data cleansing</t>
  </si>
  <si>
    <t>Itieleng-Sekgosese street paving</t>
  </si>
  <si>
    <t>Modjadji Ivory Route Phase 1</t>
  </si>
  <si>
    <t>Introduction</t>
  </si>
  <si>
    <t xml:space="preserve">The development, implementation and monitoring of a Service Delivery and Budget Implementation Plan (SDBIP) is required by the Municipal Finance Management Act (MFMA). 
In terms of Circular 13 of National Treasury, “the SDBIP gives effect to the Integrated Development Plan (IDP) and budget of the municipality and will be possible if the IDP and budget are fully aligned with each other, as required by the MFMA.”
As the budget gives effect to the strategic priorities of the municipality it is important to supplement the budget and the IDP with a management and implementation plan. 
The SDBIP serves as the commitment by the Municipality, which includes the administration, council and community, whereby the intended objectives and projected achievements are expressed in order to ensure that desired outcomes over the long term are achieved and these are implemented by the administration over the next twelve months. </t>
  </si>
  <si>
    <t xml:space="preserve">The SDBIP provides the basis for measuring performance in service delivery against quarterly targets and implementing the budget based on monthly projections.
Circular 13 further suggests that “the SDBIP provides the vital link between the mayor, council (executive) and the administration, and facilitates the process for holding management accountable for its performance. The SDBIP is a management, implementation and monitoring tool that will assist the mayor, councillors, municipal manager, senior managers and community.”
The purpose of the SDBIP is to monitor the execution of the budget, performance of senior management and achievement of the strategic objectives set by council. It enables the municipal manager to monitor the performance of senior managers, the mayor to monitor the performance of the municipal manager, and for the community to monitor the performance of the municipality. </t>
  </si>
  <si>
    <t>In the interests of good governance and better accountability, the SDBIP should therefore determine and be aligned with the performance agreements of the municipal manager and senior managers.
The development, implementation and monitoring of a Service Delivery and Budget Implementation Plan (SDBIP) is required by the Municipal Finance Management Act (MFMA). 
In terms of Circular 13 of National Treasury, “the SDBIP gives effect to the Integrated Development Plan (IDP) and budget of the municipality and will be possible if the IDP and budget are fully aligned with each other, as required by the MFMA.”</t>
  </si>
  <si>
    <t>Legislation</t>
  </si>
  <si>
    <t>According to the Municipal Finance Act (MFMA) the definition of a SDBIP is:
'service delivery and budget implementation plan' means a detailed plan approved by the mayor of a municipality in terms of section 53 (1) (c) (ii) for implementing the municipality's delivery of municipal services and its annual budget, and which must indicate- 
(a) projections for each month;
 (i) revenue to be collected by source;  
 (ii) operational and capital expenditure by vote; 
(b) service delivery targets and performance indicators for each quarter.
Section 53 of the MFMA stipulates that the Mayor should approve the SDBIP within 28 days after the approval of the budget.  The Mayor must also ensure that the revenue and expenditure projections for each month and the service delivery targets and performance indicators as set out in the SDBIP are made public within 14 days after their approval.</t>
  </si>
  <si>
    <t>The following National Treasury prescriptions as minimum requirements that must form part of the SDBIP are applicable to the Municipality :
(1) Monthly projections of revenue to be collected by source.
(2) Monthly projections of expenditure (operating and capital) and revenue for each vote. 
(3) Quarterly projections of service delivery targets and performance indicators for each vote.
(4) Ward information for expenditure and service delivery.
(5) Detailed capital works plan broken down per ward for three years.
* Section 1 of the MFMA defines a “vote” as:
a) One of the main segments into which a budget of a municipality is divided for the appropriation of money for the different departments or functional areas of the municipality; and
b) which specifies the total amount that is appropriated for the purposes of the department or functional area concerned.</t>
  </si>
  <si>
    <t>Section 28 of the Municipal Finance Management Act deals with adjustments budgets. In terms of the Act, an adjustments budget is intended to do the following: Sub-Section 2 a) Must adjust the revenue and expenditure estimates downwards if there is material under-collection of revenue during the current year b) May appropriate additional revenues that have become available over and above those anticipated in the annual budget, but only to revise or accelerate spending programmes already budgeted for c) May, within a prescribed framework, authorise unforeseeable and unavoidable expenditure recommended by the mayor of the municipality d) May authorise the utilisation of projected savings in one vote towards spending under another vote e) May authorise the spending of funds that were unspent at the end of the past financial year where the under-spending could not reasonably have been foreseen at the time to include projected roll-overs when the annual budget for the current year was approved by the council f) May correct any errors in the annual budget; and g) May provide for any other expenditure within a prescribed framework.</t>
  </si>
  <si>
    <t>Methodology and Content</t>
  </si>
  <si>
    <t xml:space="preserve">National Treasury directives are clear on the contents and methodology to derive at the SDBIP.
As a first step, the IDP objectives need to be quantified and related into key performance indicators. The budget is aligned to the objectives, projects and activities to enable the SDBIP to serve as monitoring tool for service delivery.
The SDBIP is described as a layered plan. The top layer deals with consolidated service delivery targets and time frames. Top Management is held accountable for the implementation of the consolidated projects and Key Performance Indicators. From the consolidated information, top management is expected to develop the next level of detail by breaking up outputs into smaller outputs and then linking and assigning responsibility to middle-level and junior managers. 
</t>
  </si>
  <si>
    <t>The SDBIP of the Greater Letaba Municipality consists of strategic objectives derived from the IDP that are aligned with the strategic intent of the organisation. Strategic indicators with targets are set to measure the objectives. The Municipal Manager takes responsibility for the strategic indicators and objectives which will form part of his/her Performance Agreement and Plan. Projects and activities are aligned to the indicators with quarterly targets, time-frame and budget assigned to each. 
The Strategic Indicators give rise to the institutional indicators for which the Directors will take responsibility. These indicators will form part of the Performance Agreements and Plans of Senior Managers (Directors). Indicators are assigned quarterly targets and responsibilities to monitor performance. 
Derived from this, the next layer is developed, whereby the details with responsibilities for the next level of management is outlined and forms part of the Lower SDBIP. This lower SDBIP is a management tool for the S57 Managers and need not be made public and is a separate document for each internal department.
The SDBIP serves as a management, implementation and monitoring tool that will assist the Mayor, Councilors, Municipal Manager and Directors in delivering services to the community</t>
  </si>
  <si>
    <t>Vision and Mission</t>
  </si>
  <si>
    <t>Strategy map</t>
  </si>
  <si>
    <t xml:space="preserve">The Strategy Map depicts the strategic objectives on how Greater Letaba Municipality will be able to become an outstanding agro-processing and eco-cultural tourism hub while providing sustainable and affordable services to all.   These objectives were positioned in terms of the Balanced Scorecard Perspectives being:  Learning and Growth; Institutional Processes; Financial results and Community Satisfaction.  All operational outputs (projects, initiatives and process) as contained within the SDBIP are aligned to the attainment of one or more of these objectives. </t>
  </si>
  <si>
    <t>Votes and Operational objectives</t>
  </si>
  <si>
    <t>Votes</t>
  </si>
  <si>
    <t>Objectives and Targets</t>
  </si>
  <si>
    <t>Municipal Manager Office (Vote 0040)</t>
  </si>
  <si>
    <t xml:space="preserve">To lead, direct and manage a motivated and inspired administration and account to the Greater Letaba Municipal Council as Accounting Officer for long term municipal sustainability to achieve a good creditor rating within the requirements of the relevant legislation and whereas the following sections within the department,  i.e. HIV/Aids, Youth, Disabled and Gender Desk, Communication and Internal Auditing is managed for  integration, economic growth, marginalised poverty alleviation, efficient, economic and effective communication and service delivery. </t>
  </si>
  <si>
    <t>Finance (Vote 0050)</t>
  </si>
  <si>
    <t>To secure a sound and sustainable management of the financial affairs of Greater Letaba Municipality by managing the budget and treasury office and advising and if necessary assisting the Accounting Officer and the Directors in their duties and delegation contained in the MFMA. Ensuring that the Greater Letaba Municipality is 100% financially viable when it comes to cost coverage and to manage the grant revenue of the municipality so that no grant funding is foregone</t>
  </si>
  <si>
    <t>Community Services (Vote 0028)</t>
  </si>
  <si>
    <t>To co-ordinate Environmental Health Services, Sports Arts and Culture, Education, Libraries, Safety and Security, Environmental and Waste management, Health and Social development programmes as well as Disaster management to decrease community affected by disasters</t>
  </si>
  <si>
    <t>Infrastructure Development and Economic Planning  (Votes 0029 and 0022)</t>
  </si>
  <si>
    <t>To ensure that the service delivery requirements for roads are met and maintenance of water, sewerage and electricity are conducted for access to basic services as well as no less than an average of 100% MIG expenditure</t>
  </si>
  <si>
    <t xml:space="preserve">To direct the Greater Letaba Municipality’s resources for advanced economic development and investment growth through appropriate town and infrastructure planning in order that an environment is created whereby all residents will have a sustainable income.  </t>
  </si>
  <si>
    <t>Corporate Services (Vote 0046 )</t>
  </si>
  <si>
    <t>To ensure efficient and effective operation of council services, human resources and management, legal services and the provision of high quality customer orientated administrative systems. Ensuring 100% compliance to the Skills Development Plan.</t>
  </si>
  <si>
    <t>Household connection in 7 villages</t>
  </si>
  <si>
    <t xml:space="preserve">Develop Specification and Submit to SCM </t>
  </si>
  <si>
    <t>Appointment of service provider</t>
  </si>
  <si>
    <t>Tender Advertisement, SCM processes Finalised</t>
  </si>
  <si>
    <t>Develop Specifications and submit to SCM</t>
  </si>
  <si>
    <t>Upgrading of streets -Ga-Ntata</t>
  </si>
  <si>
    <t>Annual Target (30/06/2019)</t>
  </si>
  <si>
    <t>Refurbishment of LV Network</t>
  </si>
  <si>
    <t xml:space="preserve">Highmast in Maphalle, Shawela, Ramaroka, Block 18 and Polaseng </t>
  </si>
  <si>
    <t xml:space="preserve">Low level Bridges </t>
  </si>
  <si>
    <t xml:space="preserve">Roads &amp; Stormwater </t>
  </si>
  <si>
    <t>Rasewana and Lenokwe (Designs)</t>
  </si>
  <si>
    <t>Lemondokop street paving paving</t>
  </si>
  <si>
    <t>Makhutukwe Street Paving (designs)</t>
  </si>
  <si>
    <t xml:space="preserve">Motshakga street paving </t>
  </si>
  <si>
    <t>Manningburg street paving (Designs &amp; Construction)</t>
  </si>
  <si>
    <t>Director TECH</t>
  </si>
  <si>
    <t>Approval of final 2019/20 SDBIP by the Mayor within 28 days after adoption of the Budget and IDP by 30 June 2019</t>
  </si>
  <si>
    <t>Director PLAN</t>
  </si>
  <si>
    <t>Community Facilities</t>
  </si>
  <si>
    <t>Traffic &amp; Licensing</t>
  </si>
  <si>
    <t>Mokwasele cemetery  paving</t>
  </si>
  <si>
    <t xml:space="preserve">MIG </t>
  </si>
  <si>
    <t>Review of LED strategy</t>
  </si>
  <si>
    <t>Review of Spatial Development Framework</t>
  </si>
  <si>
    <t>100% FMG expenditure</t>
  </si>
  <si>
    <t>Payment Certificate, Progress report</t>
  </si>
  <si>
    <t>Improved and Inclusive Local Economy</t>
  </si>
  <si>
    <t>Integrated Sustainable Human Settlement</t>
  </si>
  <si>
    <t>Local Economic Development</t>
  </si>
  <si>
    <t>Spatial Development Framework</t>
  </si>
  <si>
    <t>Review LED Strategy by 30 June 2019</t>
  </si>
  <si>
    <t>Council approved LED strategy, Payment certificate</t>
  </si>
  <si>
    <t xml:space="preserve">Council approved Spatial Development Framework, Payment Certificate </t>
  </si>
  <si>
    <t>Project Commences</t>
  </si>
  <si>
    <t xml:space="preserve">Draft LED Strategy submitted to the Municipality </t>
  </si>
  <si>
    <t>64% Risk issues resolved</t>
  </si>
  <si>
    <t>71% applications processed</t>
  </si>
  <si>
    <t>Develop Specification&amp; submit submit to SCM</t>
  </si>
  <si>
    <t>Tender advertised and SCM processes finalised</t>
  </si>
  <si>
    <t xml:space="preserve">Service provider Appointed </t>
  </si>
  <si>
    <t>Develop Specifications &amp; submit submit to SCM</t>
  </si>
  <si>
    <t>1127 jobs created</t>
  </si>
  <si>
    <t>Review of Spatial Development Framework  by 30 June 2019</t>
  </si>
  <si>
    <t>Orginal Budget</t>
  </si>
  <si>
    <t>Original Budget</t>
  </si>
  <si>
    <t>Madumeleng/shotong Sports Complex</t>
  </si>
  <si>
    <t xml:space="preserve">Original Budget </t>
  </si>
  <si>
    <t>The strategic vision of the organisation sets the long term goal the Municipality wants to achieve. The vision of Greater Letaba Municipality is:
“To be the leading municipality in the delivery of quality services for the promotion for socio economic development"
The strategic mission speaks about what the purpose of Greater Letaba Municipality is:
 " To ensure an effective, efficient and economically viable municipality through:  • Provision of accountable, transparent and consultative government • Promotion of local economic development and poverty alleviation • Strengthening cooperative governance • Provision of sustainable and affordable services • Ensuring a safe and healthy environment "</t>
  </si>
  <si>
    <t>Projects</t>
  </si>
  <si>
    <t>Council approve the Organisational structure</t>
  </si>
  <si>
    <t>Council approve  IDP/Budget/ PMS Process Plan</t>
  </si>
  <si>
    <t>Mayor Approve SDBIP within 28 days after adoption of the Budget and IDP</t>
  </si>
  <si>
    <t># of Quarterly performance reports compiled</t>
  </si>
  <si>
    <t># of performance assessments conducted for Sec 54A &amp; 56 Managers</t>
  </si>
  <si>
    <t xml:space="preserve">Signed Performance Agreements by all  S54A &amp; 56 Managers </t>
  </si>
  <si>
    <t>Percentage (Revenue billed for the year)</t>
  </si>
  <si>
    <t>Percentage (Debtors)</t>
  </si>
  <si>
    <t>Submit monthly Sec 71 reports to Provincial treasury within 10 working days</t>
  </si>
  <si>
    <t># of Finance compliance report submitted to Treasuries &amp; CoGHSTA</t>
  </si>
  <si>
    <t>Appoint Supply Chain  Committees</t>
  </si>
  <si>
    <t xml:space="preserve"># Assets verifications conducted in line with GRAP standards </t>
  </si>
  <si>
    <t>Percentage ( Budget spent/Budgted)</t>
  </si>
  <si>
    <t>%  capital budget spent as approved by Council within the financial year</t>
  </si>
  <si>
    <t>%  Operational and maintanance budget spent as approved by Council within the financial year</t>
  </si>
  <si>
    <t># of Council Meetings held within the financial year</t>
  </si>
  <si>
    <t># of EXCO meetings held within the financial year</t>
  </si>
  <si>
    <t># of MPAC meetings held within the financial year</t>
  </si>
  <si>
    <t># of LLF meetings held within the financial year</t>
  </si>
  <si>
    <t>Percentage (# of resolutions taken/ # of resolutions implemented).</t>
  </si>
  <si>
    <t># of IDP/Budget/ PMS REP Forum meetings held within the financial year</t>
  </si>
  <si>
    <t># of IDP/Budget/ PMS Steering Committee meetings within the financial year</t>
  </si>
  <si>
    <t>% of complaints resolved</t>
  </si>
  <si>
    <t># of quarterly Community feedback meetings held within a financial</t>
  </si>
  <si>
    <t># of Audit Committee meetings held within the financial year</t>
  </si>
  <si>
    <t xml:space="preserve"># of Fraud and Corruption cases investigated </t>
  </si>
  <si>
    <t>Number( # of cases registered / # of cases investigated within a financial year</t>
  </si>
  <si>
    <t>Region/Ward</t>
  </si>
  <si>
    <t>Projects description</t>
  </si>
  <si>
    <t>Performance Indicator title</t>
  </si>
  <si>
    <t>% of land use applications processed</t>
  </si>
  <si>
    <t>Percentage,  (# of applications received / # of land use applications processed) within 90 days of receipt)</t>
  </si>
  <si>
    <t xml:space="preserve"># of HH with access to refuse removal </t>
  </si>
  <si>
    <t xml:space="preserve"># of HH with access to electricity </t>
  </si>
  <si>
    <t># of By laws reviewed within the financial year</t>
  </si>
  <si>
    <t># of by laws promulgated within the financial year</t>
  </si>
  <si>
    <t xml:space="preserve">% of electricity losses reduced </t>
  </si>
  <si>
    <t># of EPWP reports compiled and submitted to Council</t>
  </si>
  <si>
    <t># of Agriculture Forums coordinated</t>
  </si>
  <si>
    <t># of jobs created through municipal funded Capital Projects</t>
  </si>
  <si>
    <t># of SMME supported through Sypply Chain Management</t>
  </si>
  <si>
    <t>% of  revenue collected within the financial yer</t>
  </si>
  <si>
    <t xml:space="preserve">% in debts collected within the financial year         </t>
  </si>
  <si>
    <t># of data cleansing performed (Meter services) within the financial year</t>
  </si>
  <si>
    <t># of HH receiving free basic services within the financial year</t>
  </si>
  <si>
    <t xml:space="preserve">Council approved  Budget within the financial year </t>
  </si>
  <si>
    <t xml:space="preserve">Council approved Budget policies </t>
  </si>
  <si>
    <t>Council  approved Adjustment budget by 28 February each year</t>
  </si>
  <si>
    <t>Submit Unaudited annual financial statements by 31 August each year</t>
  </si>
  <si>
    <t>Council approved Finance  by-laws within the financial year</t>
  </si>
  <si>
    <t>% invoices paid wiithin 30 days of receipt from the service providers</t>
  </si>
  <si>
    <t>% of PMU Management budget spent as approved by Council  within the financial year</t>
  </si>
  <si>
    <t>% MIG budget spent as approved  by Council within the financial year</t>
  </si>
  <si>
    <t>% INEP Buget spent as approved by Council  within finacial year</t>
  </si>
  <si>
    <t>% FMG budget spent as approved by Council within the financial year</t>
  </si>
  <si>
    <t>% EPWP budget spent as approved by Council  within the financial year</t>
  </si>
  <si>
    <t>% FBS budget spent as approved by Council within the financial year</t>
  </si>
  <si>
    <t># of Ward Committee reports submitted to Office of the Speaker</t>
  </si>
  <si>
    <t>% in implementation of LLF resolutions within the financial year</t>
  </si>
  <si>
    <t>% of Audit and Performance Audit Committees resolutions implemented within the financial year</t>
  </si>
  <si>
    <t xml:space="preserve">Council approved Fraud and Anti Coruption strategy </t>
  </si>
  <si>
    <t xml:space="preserve"> % of Risk issues resolved</t>
  </si>
  <si>
    <t>% of AG issues resolved</t>
  </si>
  <si>
    <t xml:space="preserve"> % of internal audit issues resolved </t>
  </si>
  <si>
    <t>Percentage,  (# of SLA s developed/ # of Appointments made)</t>
  </si>
  <si>
    <t># of vacant positions  filled</t>
  </si>
  <si>
    <t>% Signed Service Level Agreements within 30 days after the appointment of Service Providers</t>
  </si>
  <si>
    <t># of performance audit reports compiled and issued to the Accounting Officer</t>
  </si>
  <si>
    <t>Develop Internal Audit plan for current financial year</t>
  </si>
  <si>
    <t>Develop Audit action plan for current financial year</t>
  </si>
  <si>
    <t>100% of SLA developed</t>
  </si>
  <si>
    <t>Municipal Programme</t>
  </si>
  <si>
    <t>Revenue by Vote</t>
  </si>
  <si>
    <t>Total Revenue by Vote</t>
  </si>
  <si>
    <t>Expenditure by Vote</t>
  </si>
  <si>
    <t>Total Expenditure by Vote</t>
  </si>
  <si>
    <t>3. Assign share in 'associate' to relevant Vote</t>
  </si>
  <si>
    <t>Revenue By Source</t>
  </si>
  <si>
    <t>Property rates</t>
  </si>
  <si>
    <t>Service charges - electricity revenue</t>
  </si>
  <si>
    <t>Service charges - water revenue</t>
  </si>
  <si>
    <t>Service charges - sanitation revenue</t>
  </si>
  <si>
    <t>Service charges - refuse revenue</t>
  </si>
  <si>
    <t>Rental of facilities and equipment</t>
  </si>
  <si>
    <t>Interest earned - external investments</t>
  </si>
  <si>
    <t>Interest earned - outstanding debtors</t>
  </si>
  <si>
    <t>Dividends received</t>
  </si>
  <si>
    <t>Fines, penalties and forfeits</t>
  </si>
  <si>
    <t>Licences and permits</t>
  </si>
  <si>
    <t>Agency services</t>
  </si>
  <si>
    <t>Transfers and subsidies</t>
  </si>
  <si>
    <t>Other revenue</t>
  </si>
  <si>
    <t>Gains on disposal of PPE</t>
  </si>
  <si>
    <t>Total Revenue (excluding capital transfers and contributions)</t>
  </si>
  <si>
    <t>Expenditure By Type</t>
  </si>
  <si>
    <t>Employee related costs</t>
  </si>
  <si>
    <t>Remuneration of councillors</t>
  </si>
  <si>
    <t>Debt impairment</t>
  </si>
  <si>
    <t>Depreciation &amp; asset impairment</t>
  </si>
  <si>
    <t>Finance charges</t>
  </si>
  <si>
    <t>Bulk purchases</t>
  </si>
  <si>
    <t>Other materials</t>
  </si>
  <si>
    <t>Contracted services</t>
  </si>
  <si>
    <t>Other expenditure</t>
  </si>
  <si>
    <t>Loss on disposal of PPE</t>
  </si>
  <si>
    <t>Total Expenditure</t>
  </si>
  <si>
    <t>Surplus/(Deficit)</t>
  </si>
  <si>
    <t>Transfers and subsidies - capital (monetary allocations) (National / Provincial and District)</t>
  </si>
  <si>
    <t>Transfers and subsidies - capital (monetary allocations) (National / Provincial Departmental Agencies, Households, Non-profit Institutions, Private Enterprises, Public Corporatons, Higher Educational Institutions)</t>
  </si>
  <si>
    <t xml:space="preserve">Transfers and subsidies - capital (in-kind - all) </t>
  </si>
  <si>
    <t>Taxation</t>
  </si>
  <si>
    <t>Surplus/(Deficit) after taxation</t>
  </si>
  <si>
    <t>Attributable to minorities</t>
  </si>
  <si>
    <t>Surplus/(Deficit) attributable to municipality</t>
  </si>
  <si>
    <t>Share of surplus/ (deficit) of associate</t>
  </si>
  <si>
    <t>1. Classifications are revenue sources and expenditure type</t>
  </si>
  <si>
    <t>Capital multi-year expenditure sub-total</t>
  </si>
  <si>
    <t>Capital single-year expenditure sub-total</t>
  </si>
  <si>
    <t>Total Capital Expenditure</t>
  </si>
  <si>
    <t>Medium Term Revenue and Expenditure Framework</t>
  </si>
  <si>
    <t>July</t>
  </si>
  <si>
    <t>August</t>
  </si>
  <si>
    <t>Sept.</t>
  </si>
  <si>
    <t>October</t>
  </si>
  <si>
    <t>November</t>
  </si>
  <si>
    <t>December</t>
  </si>
  <si>
    <t>January</t>
  </si>
  <si>
    <t>February</t>
  </si>
  <si>
    <t>March</t>
  </si>
  <si>
    <t>April</t>
  </si>
  <si>
    <t>May</t>
  </si>
  <si>
    <t>June</t>
  </si>
  <si>
    <t>Surplus/(Deficit) after capital transfers &amp; contributions</t>
  </si>
  <si>
    <t>check</t>
  </si>
  <si>
    <t>1. Table should be completed as either Multi-Year expenditure appropriation or Budget Year and Forward Year estimates</t>
  </si>
  <si>
    <t>Budget Year 2020/21</t>
  </si>
  <si>
    <t>Ramodumo street paving</t>
  </si>
  <si>
    <t>Local Economic Development KPI's</t>
  </si>
  <si>
    <t>Monthly Projections of revenue to be collected for each source</t>
  </si>
  <si>
    <t>Monthly Projections of expenditure (operating and capital) and revenue for each voteto be collected for each source</t>
  </si>
  <si>
    <t>Annextures</t>
  </si>
  <si>
    <t>Mid Term Expenditure Framework</t>
  </si>
  <si>
    <t>Jokong street paving</t>
  </si>
  <si>
    <t>Shamfana Community Hall (Planning)</t>
  </si>
  <si>
    <t>Lemondokop Community Hall (Planning)</t>
  </si>
  <si>
    <t>Tlhothlokwe Community Hall (Planning)</t>
  </si>
  <si>
    <t>Khethothone street paving</t>
  </si>
  <si>
    <t>Region/Location/Ward</t>
  </si>
  <si>
    <t>Council approve IDP witin financial year</t>
  </si>
  <si>
    <t>Council approved Draft &amp; Final IDP resolution, Council Resolution</t>
  </si>
  <si>
    <t>Submit Annual Institutional Performance report to CoGHSTA, Provincial Treasury and National Treasury by 30 August each year</t>
  </si>
  <si>
    <t>Submit Mid-Year report to CoGHSTA, Provincial and National  Treasury  by 25 January each year</t>
  </si>
  <si>
    <t>Table Annual Report in Council by 31 January each year</t>
  </si>
  <si>
    <t>Table Oversight report on the Annual Report in Council by 31 March each year</t>
  </si>
  <si>
    <t>The Mayor approve SDBIP within 28 days within financial year</t>
  </si>
  <si>
    <t xml:space="preserve">Percentage,  (#  of  Auditor General issues resolved / # of issues raised) </t>
  </si>
  <si>
    <t xml:space="preserve">Percentage, (# of  Internal Audit issues resolved / # of issues raised) </t>
  </si>
  <si>
    <t xml:space="preserve">Percentage,  (#  Risk issues implemented / resolved / # of risks identified) </t>
  </si>
  <si>
    <t xml:space="preserve">64% Internal issues resolved </t>
  </si>
  <si>
    <t xml:space="preserve">47% AG issues resolved </t>
  </si>
  <si>
    <t>28 policies and 5 By-Laws</t>
  </si>
  <si>
    <t>Council approved policies and By-laws (Council Resolution)</t>
  </si>
  <si>
    <t>5 By-Laws</t>
  </si>
  <si>
    <t xml:space="preserve">21 % of electricity losses reduced : # of electricity lossed / % of electricity supplied </t>
  </si>
  <si>
    <t>21% of electricity losses reduced : # of electricity lossed / % of electricity supplied</t>
  </si>
  <si>
    <t>TECH</t>
  </si>
  <si>
    <t>To monitor the development and MIG implementation  plan within a financial year</t>
  </si>
  <si>
    <t xml:space="preserve">Development of MIG implementation Plan </t>
  </si>
  <si>
    <t xml:space="preserve">Approved MIG Implementation Plan </t>
  </si>
  <si>
    <t>Approved MIG Implementation Plan by 30 June 2018</t>
  </si>
  <si>
    <t>Approved MlG Implementation Plan Council Resolution</t>
  </si>
  <si>
    <t>Within 10 working days</t>
  </si>
  <si>
    <t>Within 30 days of receipt from the service provider</t>
  </si>
  <si>
    <t>100% of Audit and Performance Audit  Committee resolutions implemented</t>
  </si>
  <si>
    <t>Progress report and Completion certificates</t>
  </si>
  <si>
    <t>check revenue</t>
  </si>
  <si>
    <t>check expenditure</t>
  </si>
  <si>
    <t>20,21,26 &amp; 30</t>
  </si>
  <si>
    <t>100% of complaints resolved( # of complaints received / # of complaints attended )</t>
  </si>
  <si>
    <t>Tender Advertisement</t>
  </si>
  <si>
    <t>Appointment letter and Progress report</t>
  </si>
  <si>
    <t>Practical completion of phase 3 of Rotterdam Sports Complex (Phase 3 of 4)</t>
  </si>
  <si>
    <t>Progress report and Practical completion certificate</t>
  </si>
  <si>
    <t>Progress report and Completion certificate</t>
  </si>
  <si>
    <t xml:space="preserve">Appointment of service provider </t>
  </si>
  <si>
    <t>Tender advertisement</t>
  </si>
  <si>
    <t>Appointment of Service Provider</t>
  </si>
  <si>
    <t>Service provider Appointed and project commencement</t>
  </si>
  <si>
    <t>Payment Certificate, Delivery note/GRN</t>
  </si>
  <si>
    <t>Proof of Purchase/GRN</t>
  </si>
  <si>
    <t xml:space="preserve">Delivery note/GRN and Payment Certificates </t>
  </si>
  <si>
    <t>Payment Certificate and delivery note/GRN</t>
  </si>
  <si>
    <t xml:space="preserve">Delivery note/GRN and Payment Certificate </t>
  </si>
  <si>
    <t xml:space="preserve">Region/Ward </t>
  </si>
  <si>
    <t>MUNICIPAL FINANCE VIABILITY</t>
  </si>
  <si>
    <t>Capital Works Plan for Multi -Year Projects</t>
  </si>
  <si>
    <t>Table SB12</t>
  </si>
  <si>
    <t>Table SB14</t>
  </si>
  <si>
    <t>R thousand</t>
  </si>
  <si>
    <t>1. Surplus (Deficit) must reconcile with Budgeted Financial Performance</t>
  </si>
  <si>
    <t>1. Insert 'Vote'; e.g. Department, if different to Functional structure</t>
  </si>
  <si>
    <t>2. Must reconcile to Financial Performance ('Revenue and Expenditure by Functional Classification' and 'Revenue and Expenditure')</t>
  </si>
  <si>
    <t>4, 5</t>
  </si>
  <si>
    <t>2. Detail to be provided in Table SA1</t>
  </si>
  <si>
    <t>3. Previously described as 'bad or doubtful debts' - amounts shown should reflect the change in the provision for debt impairment</t>
  </si>
  <si>
    <t>4. Expenditure type components previously shown under repairs and maintenance should be allocated back to the originating expenditure group/item; e.g. employee costs</t>
  </si>
  <si>
    <t>5. Repairs &amp; maintenance detailed in Table A9 and Table SA34c</t>
  </si>
  <si>
    <t>6. Contributions are funds provided by external organisations to assist with infrastructure development; e.g. developer contributions (detail to be provided in Table SA1)</t>
  </si>
  <si>
    <t>7. Equity method ( Includes Joint Ventures)</t>
  </si>
  <si>
    <t>8. All materials not part of 'bulk' e.g  road making materials, pipe, cable etc.</t>
  </si>
  <si>
    <t>check balance</t>
  </si>
  <si>
    <t>Total revenue</t>
  </si>
  <si>
    <t xml:space="preserve"> </t>
  </si>
  <si>
    <t>Capital expenditure - Vote</t>
  </si>
  <si>
    <r>
      <t xml:space="preserve">Multi-year expenditure </t>
    </r>
    <r>
      <rPr>
        <b/>
        <sz val="8"/>
        <rFont val="Arial Narrow"/>
        <family val="2"/>
      </rPr>
      <t xml:space="preserve"> </t>
    </r>
    <r>
      <rPr>
        <b/>
        <i/>
        <sz val="8"/>
        <rFont val="Arial Narrow"/>
        <family val="2"/>
      </rPr>
      <t>to be appropriated</t>
    </r>
  </si>
  <si>
    <r>
      <t>Single-year expenditure</t>
    </r>
    <r>
      <rPr>
        <b/>
        <sz val="8"/>
        <rFont val="Arial Narrow"/>
        <family val="2"/>
      </rPr>
      <t xml:space="preserve"> </t>
    </r>
    <r>
      <rPr>
        <b/>
        <i/>
        <sz val="8"/>
        <rFont val="Arial Narrow"/>
        <family val="2"/>
      </rPr>
      <t>to be appropriated</t>
    </r>
  </si>
  <si>
    <t>Total Capital Expenditure - Vote</t>
  </si>
  <si>
    <t>Capital Expenditure - Functional</t>
  </si>
  <si>
    <t>Governance and administration</t>
  </si>
  <si>
    <t>Executive and council</t>
  </si>
  <si>
    <t>Finance and administration</t>
  </si>
  <si>
    <t>Internal audit</t>
  </si>
  <si>
    <t>Community and public safety</t>
  </si>
  <si>
    <t>Community and social services</t>
  </si>
  <si>
    <t>Sport and recreation</t>
  </si>
  <si>
    <t>Public safety</t>
  </si>
  <si>
    <t>Housing</t>
  </si>
  <si>
    <t>Health</t>
  </si>
  <si>
    <t>Economic and environmental services</t>
  </si>
  <si>
    <t>Planning and development</t>
  </si>
  <si>
    <t>Road transport</t>
  </si>
  <si>
    <t>Environmental protection</t>
  </si>
  <si>
    <t>Trading services</t>
  </si>
  <si>
    <t>Energy sources</t>
  </si>
  <si>
    <t>Water management</t>
  </si>
  <si>
    <t>Waste water management</t>
  </si>
  <si>
    <t>Other</t>
  </si>
  <si>
    <t>Total Capital Expenditure - Functional</t>
  </si>
  <si>
    <t>Funded by:</t>
  </si>
  <si>
    <t>National Government</t>
  </si>
  <si>
    <t>Provincial Government</t>
  </si>
  <si>
    <t>District Municipality</t>
  </si>
  <si>
    <t>Other transfers and grants</t>
  </si>
  <si>
    <t>Transfers recognised - capital</t>
  </si>
  <si>
    <t>Borrowing</t>
  </si>
  <si>
    <t>Internally generated funds</t>
  </si>
  <si>
    <t>Total Capital Funding</t>
  </si>
  <si>
    <t>1. Municipalities may choose to appropriate for capital expenditure for three years or for one year (if one year appropriation projected expenditure required for yr2 and yr3).</t>
  </si>
  <si>
    <t>2. Include capital component of PPP unitary payment. Note that capital transfers are only appropriated to municipalities for the budget year</t>
  </si>
  <si>
    <t>3. Capital expenditure by functional classification must reconcile to the appropriations by vote</t>
  </si>
  <si>
    <t>4. Must reconcile to supporting table SA20 and to Budgeted Financial Performance (revenue and expenditure)</t>
  </si>
  <si>
    <t>6. Include finance leases and PPP capital funding component of unitary payment - total borrowing/repayments to reconcile to changes in Table SA17</t>
  </si>
  <si>
    <t>7. Total Capital Funding must balance with Total Capital Expenditure</t>
  </si>
  <si>
    <t>8. Include any capitalised interest (MFMA section 46) as part of relevant capital budget</t>
  </si>
  <si>
    <t>Nov.</t>
  </si>
  <si>
    <t>Dec.</t>
  </si>
  <si>
    <t>Feb.</t>
  </si>
  <si>
    <r>
      <t>Multi-year expenditure</t>
    </r>
    <r>
      <rPr>
        <b/>
        <i/>
        <sz val="8"/>
        <rFont val="Arial Narrow"/>
        <family val="2"/>
      </rPr>
      <t xml:space="preserve"> to be appropriated</t>
    </r>
  </si>
  <si>
    <r>
      <t>Single-year expenditure</t>
    </r>
    <r>
      <rPr>
        <b/>
        <i/>
        <sz val="8"/>
        <rFont val="Arial Narrow"/>
        <family val="2"/>
      </rPr>
      <t xml:space="preserve"> to be appropriated</t>
    </r>
  </si>
  <si>
    <t>2. Total Capital Expenditure must reconcile to Budgeted Capital Expenditure</t>
  </si>
  <si>
    <t>Add single year stuff</t>
  </si>
  <si>
    <t>To ensure that  the reviewed organizational structure is approved by council by 31 May 2020</t>
  </si>
  <si>
    <t>Council Approved Organizational structure by 31 May 2020</t>
  </si>
  <si>
    <t>Budget 2019/20</t>
  </si>
  <si>
    <t>1st Quarter       (1 Jul-30 Sept 2019)</t>
  </si>
  <si>
    <t>2nd Quarter (1 Oct -31 Dec 2019)</t>
  </si>
  <si>
    <t>3rd Quarter (1 Jan 31 Mar 2020)</t>
  </si>
  <si>
    <t>4th Quarter   (1 Apr- 30 Jun 2020)</t>
  </si>
  <si>
    <t>Approval of the IDP/Budget/PMS process plan by 31 July 2019</t>
  </si>
  <si>
    <t>Approval of 2019/20 IDP/Budget/PMS Process Plan by 31 July 2019</t>
  </si>
  <si>
    <t>Approval of the Draft 2020/21 IDP by 31 March 2020 &amp; final IDP by 31 May 2020</t>
  </si>
  <si>
    <t>Approval of IDP by Council by 30 June 2020</t>
  </si>
  <si>
    <t>Approval of final 2020/21 IDP by 31 May 2020</t>
  </si>
  <si>
    <t>Approval of draft  2020/21 IDP by 31 March 2020</t>
  </si>
  <si>
    <t>To ensure that SDBIP is finalised by 30 June 2020</t>
  </si>
  <si>
    <t>Approval of final 2020/21 SDBIP by the Mayor within 28 days after adoption of the Budget and IDP by 30 June 2020</t>
  </si>
  <si>
    <t>Performance Agreements signed by Sec 54 &amp; 56 Managers by 31 July 2019</t>
  </si>
  <si>
    <t>31-01-2019</t>
  </si>
  <si>
    <t>Submission of 2019/20 Mid-year report to CoGHSTA, Provincial Treasury and National Treasury by 25 January 2020</t>
  </si>
  <si>
    <t>Submission of 2018/19 Annua Institutional Performance Repor by 30 August 2019</t>
  </si>
  <si>
    <t>Tabling of 2018/19 Annual report in Council by 31 January 2020</t>
  </si>
  <si>
    <t>Tabling of 2018/19 Oversight report on the Annual Report in Council by 31 March 2020</t>
  </si>
  <si>
    <t>Publishing of the 2018/19 Oversight report in the Newspaper &amp; Website within 7 days of adoption by 07 April 2020</t>
  </si>
  <si>
    <t>Reviewed 2019/20 SDBIP, Council resolution</t>
  </si>
  <si>
    <t>Approval of the reviewed 2019/20 SDBIP  in Council by 31 March 2020</t>
  </si>
  <si>
    <t>Development of 2018/19 Audit Action plan by 31 January 2020</t>
  </si>
  <si>
    <t>Development of 2018/19 Internal Audit  plan by 30 June 2020</t>
  </si>
  <si>
    <t>100% internal audit issues resolved (# of  Internal Audit issues resolved / # of issues raised) by June 2020</t>
  </si>
  <si>
    <t>100% AG issues resolved by 30 June 2020</t>
  </si>
  <si>
    <t>100% Risk issues resolved by 30 June 2020</t>
  </si>
  <si>
    <t xml:space="preserve">To attain Clean Audit by ensuring compliance to all governance; financial management and reporting requirements by 30 June </t>
  </si>
  <si>
    <t xml:space="preserve">To ensure efffective implementation  of risk mitigations actions 30 June </t>
  </si>
  <si>
    <t xml:space="preserve">2019/20 WARD INFORMATION FOR EXPENDITURE AND SERVICE DELIVERY /CAPITAL WORKS PLAN SUMMARY OF CAPITAL PROJECTS  FOR THE YEAR                                                                                   </t>
  </si>
  <si>
    <t xml:space="preserve">2019/20 WARD INFORMATION FOR EXPENDITURE AND SERVICE DELIVERY /CAPITAL WORKS PLAN SUMMARY OF CAPITAL PROJECTS FOR THE YEAR                                                                                   </t>
  </si>
  <si>
    <t xml:space="preserve">2019/20 CAPITAL WORKS PLAN FOR MULTI-YEAR PROJECTS                                                                                  </t>
  </si>
  <si>
    <t>Budget Year 2021/22</t>
  </si>
  <si>
    <t>Approval of Draft 2019/20 Budget by Council on 31 March 2020</t>
  </si>
  <si>
    <t>Approval of Final 2019/20 Budget by Council on 31 May 2020</t>
  </si>
  <si>
    <t>Approval of 21 budget related policies by Council on 31 March 2020</t>
  </si>
  <si>
    <t>Approval of 2019/20 Adjustement budget in Council by 28 February 2020</t>
  </si>
  <si>
    <t>Submission of Unaudited Financial Statements by 31 August 2019</t>
  </si>
  <si>
    <t xml:space="preserve"># of Sec 32 Register developed and updated </t>
  </si>
  <si>
    <t>12 Sec 32 register developed and updated by 30 June 2019.</t>
  </si>
  <si>
    <t>Approval of 4 Finance by-laws by 31 May 2020.</t>
  </si>
  <si>
    <t>Approval of Finance by-laws by 31 May 2020</t>
  </si>
  <si>
    <t>Submission of monthly Sec 71 reports to Provincial treasury within 10 working days by 30 June 2020</t>
  </si>
  <si>
    <t>SCM structures appointed by 30 June 2019</t>
  </si>
  <si>
    <t>Appointment of Supply Chain Structures (Bid Specifications, Bid Evaluation and Bid Adjucation Committees) by 31 July 2019</t>
  </si>
  <si>
    <t>28 policies and 5 of By laws reviewed by 30 June 2020</t>
  </si>
  <si>
    <t xml:space="preserve"> 5 of By laws promulgated/ by laws due for promulgation by 30 June 2020</t>
  </si>
  <si>
    <t>To Purchase Microwave by 30 June 2020</t>
  </si>
  <si>
    <t>To Purchased and Deliver vehicles by 30 June 2020</t>
  </si>
  <si>
    <t>Supply &amp; Delivery of 8*lockable cashiers tills (Fnance &amp; Traffice)</t>
  </si>
  <si>
    <t>Supplh &amp; delivery of Microwave</t>
  </si>
  <si>
    <t>Supply &amp; delivery of Vehicles</t>
  </si>
  <si>
    <t>To purchase 8*lockable cashiers tills (Fnance &amp; Traffice) by 30 June 2020</t>
  </si>
  <si>
    <t>To purchase  Small safe cashiers by 30 June 2020</t>
  </si>
  <si>
    <t xml:space="preserve">Supply &amp; delivery of  Small safe cashiers </t>
  </si>
  <si>
    <t>To purchase 8*Cash boxes by 30 June 2020</t>
  </si>
  <si>
    <t>Supply &amp; delivery of 8*Cash boxes by 30 June 2020</t>
  </si>
  <si>
    <t>8*Cash boxes purchased &amp; delivered</t>
  </si>
  <si>
    <t>Security cameras supplied &amp; installed</t>
  </si>
  <si>
    <t>Supply &amp; installation of security cameras</t>
  </si>
  <si>
    <t>To supply &amp; install security cameras by 30 June 2020</t>
  </si>
  <si>
    <t>To purchase  battery &amp; tyre marking machine by 30 June 2020</t>
  </si>
  <si>
    <t>Supply &amp; delivery of battery &amp; tyre marking  machine</t>
  </si>
  <si>
    <t>battery &amp; tyre marking machine purchased &amp; delivered</t>
  </si>
  <si>
    <t>To Purchased and Deliver vehicle by 30 June 2020</t>
  </si>
  <si>
    <t>Supply &amp; delivery of Vehicle</t>
  </si>
  <si>
    <t>To purchase accounts folding machine by 30 June 2020</t>
  </si>
  <si>
    <t>Supply &amp; delivery of accounts folding machine</t>
  </si>
  <si>
    <t>To supply &amp; install steel shelves by 30 June 2020</t>
  </si>
  <si>
    <t>To supply &amp; install steel shelves</t>
  </si>
  <si>
    <t>To build municipal washing bay by 30 June 2020</t>
  </si>
  <si>
    <t xml:space="preserve">Tender Advertisement, SCM processes </t>
  </si>
  <si>
    <t xml:space="preserve">Building municipal washing bay </t>
  </si>
  <si>
    <t>To purchase  diesel tanker with readings by 30 June 2020</t>
  </si>
  <si>
    <t>Supply &amp; delivery of  diesel tanker with readings</t>
  </si>
  <si>
    <t>To purchase podium by 30 June 2020</t>
  </si>
  <si>
    <t xml:space="preserve">Supply &amp; delivery of Podium </t>
  </si>
  <si>
    <t>To purchase camera by 30 June 2020</t>
  </si>
  <si>
    <t>Supply &amp; delivery of Camera</t>
  </si>
  <si>
    <t>To puchase POE switches replacement by 30 June 2020</t>
  </si>
  <si>
    <t xml:space="preserve">Supply &amp; delivery of POE switches replacement </t>
  </si>
  <si>
    <t>POE switches replacement purchased &amp; delivered</t>
  </si>
  <si>
    <t>To purchase 15* Laptop replacement by 30  June 2019</t>
  </si>
  <si>
    <t>15* Laptops replacement purchased &amp; delivered</t>
  </si>
  <si>
    <t>To purchase of 20* Desktop PC replacement by 30 June 2020</t>
  </si>
  <si>
    <t xml:space="preserve">Supply &amp; delivery of 15* Laptops replacement </t>
  </si>
  <si>
    <t xml:space="preserve">Supply &amp; delivery of 20* Desktop PC replacement </t>
  </si>
  <si>
    <t>20* Desktop PC replacement pruchased &amp; delivered</t>
  </si>
  <si>
    <t>To purchase &amp; Installation of Wifi Connection equipment by 30 June 2020</t>
  </si>
  <si>
    <t>Supply &amp; Installation of Wifi Connection equipment</t>
  </si>
  <si>
    <t>To purchase and Install 2* mobile filling units by 30 June 2020</t>
  </si>
  <si>
    <t xml:space="preserve">Supply &amp; installation of 2* mobile filling units </t>
  </si>
  <si>
    <t>To purchase and install air conditioners (Kgapane old sub office (facilities) &amp; Modjadjiskloof registering authority by 30 June 2020</t>
  </si>
  <si>
    <t>Supply and install air conditioners (Kgapane old sub office (facilities) &amp; Modjadjiskloof registering authority</t>
  </si>
  <si>
    <t>air conditioners (Kgapane old sub office (facilities) &amp; Modjadjiskloof registering authority supplied &amp; installed</t>
  </si>
  <si>
    <t>To purchase 20* Filling cabinets All sections (Community services) by 30 June 2020</t>
  </si>
  <si>
    <t xml:space="preserve">Supply &amp; delivery of 20* Filling cabinets All sections (Community services) </t>
  </si>
  <si>
    <t>Director Community Services</t>
  </si>
  <si>
    <t>20* Filling cabinets All sections (Community services) purchased &amp; delivered</t>
  </si>
  <si>
    <t>Council chamber recording system purchased and delivered</t>
  </si>
  <si>
    <t>To purchase Council chamber recording system by 30 June 2020</t>
  </si>
  <si>
    <t xml:space="preserve">Supply &amp; delivery of vehicle </t>
  </si>
  <si>
    <t>Supply &amp; delivery of Counter security barglar (regstry)</t>
  </si>
  <si>
    <t>To purchase of vehicle 30 June 2020</t>
  </si>
  <si>
    <t>2* bathopele tables purchased and delivered</t>
  </si>
  <si>
    <t>To purchase of 2* Bathopele tables by 30 June 2020</t>
  </si>
  <si>
    <t>Supply and delivery 3* water despenser</t>
  </si>
  <si>
    <t>3 * Water despender purchased and delivered</t>
  </si>
  <si>
    <t>To Construct  a community hall at Ward 5 by 30 June 2020</t>
  </si>
  <si>
    <t>Construction of Ward 5 Community Hall (Planning)</t>
  </si>
  <si>
    <t>Tender Advertisement, SCM processes</t>
  </si>
  <si>
    <t>Supply &amp; installation of aircons 12 BTU for Community halls</t>
  </si>
  <si>
    <t>To purchase &amp; installation of aircons 12 BTU for Community halls by 30 June 2020</t>
  </si>
  <si>
    <t>aircons 12 BTU for Community halls purchased &amp; installed</t>
  </si>
  <si>
    <t>Appointment of the Service provider</t>
  </si>
  <si>
    <t>Supply &amp; installation of Gate (main office,pedestrain), Old sub office and stotes</t>
  </si>
  <si>
    <t>Supply &amp; delivery of fire exinguishers</t>
  </si>
  <si>
    <t>Fire exinguishers purchased and installed</t>
  </si>
  <si>
    <t>To Purchase of counter security barglar (registry) by 30 June 2020</t>
  </si>
  <si>
    <t>To Purchase of 3* torches  by 30 June 2020</t>
  </si>
  <si>
    <t>Supply &amp; delivery of 3* Torches</t>
  </si>
  <si>
    <t>To Purchase of Digital camera  by 30 June 2020</t>
  </si>
  <si>
    <t>Supply &amp; delivery of digital camera</t>
  </si>
  <si>
    <t>To erect and ernergise 7x Highmast Lights in Jamela, Jokong, Maphalle, Shawela, Ramaroka, Block 18 and Polaseng  by 30 June 2020</t>
  </si>
  <si>
    <t>Construction of Mamanyoha Sports Complex</t>
  </si>
  <si>
    <t>Construction of Rotterdam Sports Complex</t>
  </si>
  <si>
    <t xml:space="preserve">Service provider of the Appointed </t>
  </si>
  <si>
    <t>8* Industrial Lawn mower purchased &amp; delivered</t>
  </si>
  <si>
    <t>Supply &amp; delivery of 8*Industrial lawn mower</t>
  </si>
  <si>
    <t>To Beatify Town entrance  by 30 June 2020</t>
  </si>
  <si>
    <t>Beatification of Town Entrance</t>
  </si>
  <si>
    <t>To construct a street in Manningburg by 30 June 2020</t>
  </si>
  <si>
    <t xml:space="preserve"> Tender Advertisement</t>
  </si>
  <si>
    <t xml:space="preserve">Develop Specifications &amp; submit to SCM </t>
  </si>
  <si>
    <t>Project Completion</t>
  </si>
  <si>
    <t>Designs &amp; planning of Rampepe access bridge</t>
  </si>
  <si>
    <t>Establishment of RA and DLTC (Mokwakwaila Licensing)</t>
  </si>
  <si>
    <t>Establishment of RA and DLTC (Mokwakwaila Licensing) completion</t>
  </si>
  <si>
    <t>To purchase &amp; Install Counter, Bullet Glass and Cubbicles by 30 June 2020</t>
  </si>
  <si>
    <t>Supply &amp; Installation of  Counter, Bullet Glass and Cubbicles</t>
  </si>
  <si>
    <t>Counter, Bullet Glass and Cubbicles supplied &amp; installed</t>
  </si>
  <si>
    <t xml:space="preserve">Delivery note/GRN and Payment Certificates/Completion certificate </t>
  </si>
  <si>
    <t>Supply&amp; Installation of  Cubbicles-Kgapane DLTC Licensing</t>
  </si>
  <si>
    <t>Installation of  Cubbicles-Kgapane DLTC Licensing supplied</t>
  </si>
  <si>
    <t>To Orthorators (Eye test machines ) Modjdjiskloof, Kgapane &amp; Mokwakwaila by 30 June 2020</t>
  </si>
  <si>
    <t xml:space="preserve"> Orthorators (Eye test machines ) Modjdjiskloof, Kgapane &amp; Mokwakwaila purchased &amp; delivered</t>
  </si>
  <si>
    <t>Supply &amp; delivery of Orthorators (Eye test machines ) Modjdjiskloof, Kgapane &amp; Mokwakwaila</t>
  </si>
  <si>
    <t>To Purchase Road block trailer by 30 June 2020</t>
  </si>
  <si>
    <t>Supply &amp;delivery of Road block trailer</t>
  </si>
  <si>
    <t>To purchase 4*Ton truck with half tent  by 30 June 2020</t>
  </si>
  <si>
    <t>To purchase 2* Traffic patrol vehicles by 30 June 2020</t>
  </si>
  <si>
    <t>Supply &amp; delivery of 2* Traffic patrol vehicles</t>
  </si>
  <si>
    <t>2* Traffic patrol vehicles purchsed &amp; delivered</t>
  </si>
  <si>
    <t>10* Stop watches purchased &amp; delivered</t>
  </si>
  <si>
    <t>To supply and delivery 10* Stop watches</t>
  </si>
  <si>
    <t xml:space="preserve">Supply and delivery of 5* Colour printers </t>
  </si>
  <si>
    <t>5* Colour printers purchsed</t>
  </si>
  <si>
    <t>To supply and delivery 3* Microwaves for all sections</t>
  </si>
  <si>
    <t>Supply &amp; delivery of 3*Fridges</t>
  </si>
  <si>
    <t>To purchase 3* Fridges by 30 June 2020</t>
  </si>
  <si>
    <t>To purchase 3* Microwaves for all sections by 30 June 2020</t>
  </si>
  <si>
    <t>To purchase 5* Colour printers by 30 June 2020</t>
  </si>
  <si>
    <t>To purchase 10* Stop watches  by 30 June 2020</t>
  </si>
  <si>
    <t>To purchase 4x4 Cherrypicker truck by 30 June 2020</t>
  </si>
  <si>
    <t xml:space="preserve">Supply &amp; dleivery of 4x4 Cherrypicker truck </t>
  </si>
  <si>
    <t>To  purchase Silent Mobile  Generator 50 KVA with Trailer by 30 June 2020</t>
  </si>
  <si>
    <t>Supply &amp; delivery of Silent Mobile  Generator 50 KVA with Trailer</t>
  </si>
  <si>
    <t xml:space="preserve">Silent Mobile  Generator 50 KVA with Trailer purchased </t>
  </si>
  <si>
    <t>To purchase  replacement of aged Low voltage metere boxes in Modjadjiskloof by 30 June 2020</t>
  </si>
  <si>
    <t>Supply &amp;delivery of replacement of aged Low voltage metere boxes in Modjadjiskloof</t>
  </si>
  <si>
    <t>Replacement of aged Low voltage metere boxes in Modjadjiskloof purchased &amp; delivered</t>
  </si>
  <si>
    <t>To purchase 500 KVA mini sub by 30 June 2020</t>
  </si>
  <si>
    <t>To purchase 315 KVA pole transformer by 30 June 2020</t>
  </si>
  <si>
    <t>315 KVA pole transformer purchased</t>
  </si>
  <si>
    <t>200 KVA pole transformer purchased</t>
  </si>
  <si>
    <t>To purchase 200 KVA pole transformer by 30 June 2020</t>
  </si>
  <si>
    <t>Crane trruck bucket purchased</t>
  </si>
  <si>
    <t xml:space="preserve">Supply &amp; delivery of 200 KVA pole transformer </t>
  </si>
  <si>
    <t>Supply &amp; delivery of  315 KVA pole transformer</t>
  </si>
  <si>
    <t xml:space="preserve">Supply &amp; delivery of 500 KVA mini sub </t>
  </si>
  <si>
    <t>Supply &amp; delivery of 4*Ton truck with half tent</t>
  </si>
  <si>
    <t>Supply &amp; delivery of Crane truck bucket</t>
  </si>
  <si>
    <t>To purchase Crane truck bucket by 30 June 2020</t>
  </si>
  <si>
    <t>To purchase streetslights merering points by 30 June 2020</t>
  </si>
  <si>
    <t xml:space="preserve">Supply &amp; delivery of streetslights merering points </t>
  </si>
  <si>
    <t>To Construct LED highmast  in Modjadjiskloof by 30 June 2020</t>
  </si>
  <si>
    <t>Construction of  LED highmast in Modjadjiskloof</t>
  </si>
  <si>
    <t>To Construct Municipal Building Metering Points (Workshop,Library, Kgapane &amp; Senwamokgope) by 30 June 2020</t>
  </si>
  <si>
    <t xml:space="preserve">Construction of  Municipal Building Metering Points (Workshop,Library, Kgapane &amp; Senwamokgope) </t>
  </si>
  <si>
    <t>Construction completed/Project completion</t>
  </si>
  <si>
    <t>To refurbish LV network by 30 June 2020</t>
  </si>
  <si>
    <t xml:space="preserve">Refurbishment of  LV network </t>
  </si>
  <si>
    <t>Project completion</t>
  </si>
  <si>
    <t>To construct streets paving in Jokong by 30 June 2020</t>
  </si>
  <si>
    <t>01,  06 &amp; 07</t>
  </si>
  <si>
    <t>3 &amp; 4</t>
  </si>
  <si>
    <t>3, 4 &amp; 27</t>
  </si>
  <si>
    <t>Head Office (27)</t>
  </si>
  <si>
    <t>19,20,2126 &amp; 30</t>
  </si>
  <si>
    <t>03 &amp; 04</t>
  </si>
  <si>
    <t>To construct Modjadjiskloof Transfer Station by June 2020</t>
  </si>
  <si>
    <t>Construction of Modjadjiskloof Transfer Station</t>
  </si>
  <si>
    <t xml:space="preserve">03 &amp; 04 </t>
  </si>
  <si>
    <t>To purchase Skip Truck by 30 June 2020</t>
  </si>
  <si>
    <t>Supply &amp; delivery of Skip Truck</t>
  </si>
  <si>
    <t>To purchase Truck (Passengers) by 30 June 2020</t>
  </si>
  <si>
    <t>Supply &amp; delivery of Truck (Passengers)</t>
  </si>
  <si>
    <t>To purchase Tractor by 30 June 2020</t>
  </si>
  <si>
    <t>Supply &amp; delivery of Tractor</t>
  </si>
  <si>
    <t>To Construct Low Level Bridges by 30 June 2020</t>
  </si>
  <si>
    <t>Construction of Low Level Bridges</t>
  </si>
  <si>
    <t>To construct Kgapane Pedestrain Bridge by 30 June 2020</t>
  </si>
  <si>
    <t>Construction of Kgapane Pedestrain Bridge</t>
  </si>
  <si>
    <t>To purchase Bakkie(4x2) by 30 June 2020</t>
  </si>
  <si>
    <t>Supply &amp; delivery of Bakkie (4x2)</t>
  </si>
  <si>
    <t>To  purchase 3*Bakkie (4x2) Plumbing Team in M/skloof &amp; Kgapane) by 30 June 2020</t>
  </si>
  <si>
    <t>Supply &amp; delivery of 3*Bakkie (4x2) Plumbing Team in M/skloof &amp; Kgapane)</t>
  </si>
  <si>
    <t>Supply &amp; delivery of 3* Tipper trucks 6m3 (Belleview,Senwamokgope &amp; Mokwakwaila Clusters)</t>
  </si>
  <si>
    <t xml:space="preserve">Supply &amp; delivery of 3* Water Tankers (Bellview, Senwamokgope &amp; Mokwakwaila Clusters) </t>
  </si>
  <si>
    <t>To purchase 3* Water Tankers (Bellview, Senwamokgope &amp; Mokwakwaila Clusters) by 30 June 2020</t>
  </si>
  <si>
    <t>To purchase 3* Tipper trucks 6m3 (Belleview,Senwamokgope &amp; Mokwakwaila Clusters) by 30 June 2020</t>
  </si>
  <si>
    <t xml:space="preserve">Supply &amp; delivery of 2* TLB (senwamokgope &amp; Mokwakwaila Clusters)  </t>
  </si>
  <si>
    <t>To purchase 2* TLB (senwamokgope &amp; Mokwakwaila Clusters)  by 30 June 2020</t>
  </si>
  <si>
    <t xml:space="preserve">Supply &amp; delivery of Mechanical Broom Machinery (Street sweeping)  </t>
  </si>
  <si>
    <t>To purchse Mechanical Broom Machinery (Street sweeping)  by 30 June 2020</t>
  </si>
  <si>
    <t>To rehabilitate Ga-Kgapane streets -Phase 3 by 30 June 2020</t>
  </si>
  <si>
    <t xml:space="preserve">Rehabilitate Ga-Kgapane streets -Phase 3 </t>
  </si>
  <si>
    <t xml:space="preserve">Construction of Makhutukwe street paving </t>
  </si>
  <si>
    <t>To Construct Makhutukwe streets paving by 30 June 2020 (Planning)</t>
  </si>
  <si>
    <t>Construction of Moshakga street paving</t>
  </si>
  <si>
    <t>To Construct Mokwasele paving Cemetery by 30 June 2020</t>
  </si>
  <si>
    <t>Construction of Mokwasele Cemetery paving</t>
  </si>
  <si>
    <t>Refurbishment of Modjadjiskloof Taxi Rank</t>
  </si>
  <si>
    <t>To Refurbish Modjadjiskloof Taxi Rank by 30 June 2020</t>
  </si>
  <si>
    <t>Planning &amp; designs of Ward 9 (Sekgopo ) streets paving by 30 June 2020</t>
  </si>
  <si>
    <t>Planning &amp; designs of Ward 13 (Senwamokgope) streets paving by 30 June 2020</t>
  </si>
  <si>
    <t>Planning &amp; designs of Khethothone street paving</t>
  </si>
  <si>
    <t>Planning &amp; designs of Mmamokgadi street paving</t>
  </si>
  <si>
    <t>Construction of Lemondokop street paving</t>
  </si>
  <si>
    <t>Construction of Itieleng Sekgosese street paving</t>
  </si>
  <si>
    <t>Planning &amp; designs of Ward 5 (Malematsa) street paving</t>
  </si>
  <si>
    <t>Planning &amp; designs of Ward (Sekgopo) street paving</t>
  </si>
  <si>
    <t>Planning &amp; designs of Maapana street paving</t>
  </si>
  <si>
    <t>To construct Itieleng Sekgosese- street paving by 30 June 2020</t>
  </si>
  <si>
    <t>To construct Lemondokop street paving by 30 June 2020</t>
  </si>
  <si>
    <t>Planning &amp; designs of Mmamokgadi street paving by 30 June 2020</t>
  </si>
  <si>
    <t>Planning &amp; designs of Khethothone street paving by 30 June 2020</t>
  </si>
  <si>
    <t>Planning &amp; designs of ward 5 (Malematsa) street paving by 30 June 2020</t>
  </si>
  <si>
    <t>Planning &amp; designs of Ward 15 (Phase 2) streets paving by 30 June 2020</t>
  </si>
  <si>
    <t>Planning &amp; designs of Ward 15 (Phase 2) strees paving</t>
  </si>
  <si>
    <t>Planning &amp; designs of Ward 13 (Senwamokgope) street paving</t>
  </si>
  <si>
    <t>Planning &amp; designs of Maupa street paving by 30 June 2020</t>
  </si>
  <si>
    <t>Planning &amp; designs of Maupa street paving</t>
  </si>
  <si>
    <t>Planning &amp; designs of Ramoadi street paving by 30 June 2020</t>
  </si>
  <si>
    <t>Planning &amp; designs of Ramoadi street paving</t>
  </si>
  <si>
    <t>Planning &amp; designs of Mokgoba street paving by 30 June 2021</t>
  </si>
  <si>
    <t>Planning &amp; designs of Mokgoba street paving</t>
  </si>
  <si>
    <t>Planning &amp; designs of Sephukhubje street paving by 30 June 2022</t>
  </si>
  <si>
    <t>Planning &amp; designs of Mohlabaneng street paving by 30 June 2023</t>
  </si>
  <si>
    <t>Planning &amp; designs of Sephukhubje street paving</t>
  </si>
  <si>
    <t>Planning &amp; designs of Mohlabaneng street paving</t>
  </si>
  <si>
    <t>Planning &amp; designs of Motsinoni street paving by 30 June 2024</t>
  </si>
  <si>
    <t>Planning &amp; designs of Motsinoni street paving</t>
  </si>
  <si>
    <t>16 &amp; 18</t>
  </si>
  <si>
    <t>19,20,21,26 &amp; 30</t>
  </si>
  <si>
    <t>Paving-Mokwasele Cemetery</t>
  </si>
  <si>
    <t>Planning &amp; designs of Mapaana street paving by 30 June 2020</t>
  </si>
  <si>
    <t>Mapaana street paving</t>
  </si>
  <si>
    <t>Malematsa street paving</t>
  </si>
  <si>
    <t>Ward 9 (Sekgopo) street paving</t>
  </si>
  <si>
    <t>Ward 13  (Senwamokgope) street paving</t>
  </si>
  <si>
    <t>Ward 15 (Phase2) street paving</t>
  </si>
  <si>
    <t>Maupa street paving</t>
  </si>
  <si>
    <t>Ramoadi sreet paving</t>
  </si>
  <si>
    <t>Sephukhubje street paving</t>
  </si>
  <si>
    <t>Mokgoba street paving</t>
  </si>
  <si>
    <t>Mohlabaneng street paving</t>
  </si>
  <si>
    <t>Motsinoni street paving</t>
  </si>
  <si>
    <t>Rampepem Access Bridge (designs)</t>
  </si>
  <si>
    <t>To purchase of 3* water dispenser by 30 June 2020</t>
  </si>
  <si>
    <t>Budget &amp; Treasury Office</t>
  </si>
  <si>
    <t>SCM processes &amp; Appointment of service provider</t>
  </si>
  <si>
    <t>Executive &amp; Council</t>
  </si>
  <si>
    <t>Executive &amp; Coouncil</t>
  </si>
  <si>
    <t>Libraries &amp; Achieves</t>
  </si>
  <si>
    <t>To Purchase Fire Exinguishers by 30 June 2020</t>
  </si>
  <si>
    <t>Disaster Management</t>
  </si>
  <si>
    <t xml:space="preserve">Disater Management </t>
  </si>
  <si>
    <t>10* Chain saws purchased and delivered</t>
  </si>
  <si>
    <t>To construct Boreholes at Kgapane Community Services with *2 Water tanks by 2020</t>
  </si>
  <si>
    <t>Construction of Boreholes at Kgapane Community Services with Water Tanks</t>
  </si>
  <si>
    <t>Storm Water Maanagement</t>
  </si>
  <si>
    <t>Roads</t>
  </si>
  <si>
    <t xml:space="preserve">Roads </t>
  </si>
  <si>
    <t>Construction of Kgapane Stadium Phase 3 (Multi-year)</t>
  </si>
  <si>
    <t>Construction of Jokong Street Paving (Multi-year)</t>
  </si>
  <si>
    <t xml:space="preserve">Publish Oversight report in the Media (Media print / Website) within 7 days of adoption </t>
  </si>
  <si>
    <t>Construction continues</t>
  </si>
  <si>
    <t>Construction continues/ Progress report</t>
  </si>
  <si>
    <t>Construction continues/Progress report/Practical Complettion</t>
  </si>
  <si>
    <t>Mamanyoha Sports Complex completed/ project completion</t>
  </si>
  <si>
    <t>Progress repor/ Completion certificate</t>
  </si>
  <si>
    <t>To complete construction of Sports Complex in Mamanyowa by 30 June 2020</t>
  </si>
  <si>
    <t>To complete construction of Kgapane Stadiun Phase 3 by 30 June 2020</t>
  </si>
  <si>
    <t>To complete construction of sport complex in Thakgalane Ph1 by 30 June 2020</t>
  </si>
  <si>
    <t>To complete construction of  Sports Complex in Rotterdam by 30 June 2020</t>
  </si>
  <si>
    <t>Practical completion</t>
  </si>
  <si>
    <t>To purchase 8*industrial lawn mower  by 30 June 2020</t>
  </si>
  <si>
    <t>To complete construction of  Moshakga streets paving by June 2020</t>
  </si>
  <si>
    <t>Preliminary report</t>
  </si>
  <si>
    <t>Technical report/Working draft document</t>
  </si>
  <si>
    <t>Layout report</t>
  </si>
  <si>
    <t>Print document/Printout report</t>
  </si>
  <si>
    <r>
      <t xml:space="preserve">100% </t>
    </r>
    <r>
      <rPr>
        <b/>
        <sz val="8"/>
        <color theme="1"/>
        <rFont val="Arial"/>
        <family val="2"/>
      </rPr>
      <t xml:space="preserve">R 3 513 047,15 </t>
    </r>
    <r>
      <rPr>
        <sz val="8"/>
        <color theme="1"/>
        <rFont val="Arial"/>
        <family val="2"/>
      </rPr>
      <t>PMU Management Budget spent</t>
    </r>
  </si>
  <si>
    <r>
      <rPr>
        <b/>
        <sz val="8"/>
        <color theme="1"/>
        <rFont val="Arial"/>
        <family val="2"/>
      </rPr>
      <t xml:space="preserve">15%  R 526 957,07 </t>
    </r>
    <r>
      <rPr>
        <sz val="8"/>
        <color theme="1"/>
        <rFont val="Arial"/>
        <family val="2"/>
      </rPr>
      <t>PMU Management Budget spent</t>
    </r>
  </si>
  <si>
    <r>
      <rPr>
        <b/>
        <sz val="8"/>
        <color theme="1"/>
        <rFont val="Arial"/>
        <family val="2"/>
      </rPr>
      <t xml:space="preserve">35%   R 1 229 566,50 </t>
    </r>
    <r>
      <rPr>
        <sz val="8"/>
        <color theme="1"/>
        <rFont val="Arial"/>
        <family val="2"/>
      </rPr>
      <t>PMU Management Budget spent</t>
    </r>
  </si>
  <si>
    <r>
      <rPr>
        <b/>
        <sz val="8"/>
        <color theme="1"/>
        <rFont val="Arial"/>
        <family val="2"/>
      </rPr>
      <t>70% R 2 459 123,01</t>
    </r>
    <r>
      <rPr>
        <sz val="8"/>
        <color theme="1"/>
        <rFont val="Arial"/>
        <family val="2"/>
      </rPr>
      <t xml:space="preserve"> PMU Management Budget spent</t>
    </r>
  </si>
  <si>
    <r>
      <t>100%</t>
    </r>
    <r>
      <rPr>
        <b/>
        <sz val="8"/>
        <color theme="1"/>
        <rFont val="Arial"/>
        <family val="2"/>
      </rPr>
      <t xml:space="preserve"> R 3 513 047,15  </t>
    </r>
    <r>
      <rPr>
        <sz val="8"/>
        <color theme="1"/>
        <rFont val="Arial"/>
        <family val="2"/>
      </rPr>
      <t>PMU Management Budget spent</t>
    </r>
  </si>
  <si>
    <r>
      <t xml:space="preserve">100% </t>
    </r>
    <r>
      <rPr>
        <b/>
        <sz val="8"/>
        <color rgb="FF000000"/>
        <rFont val="Arial"/>
        <family val="2"/>
      </rPr>
      <t>R 151 554 220</t>
    </r>
    <r>
      <rPr>
        <sz val="8"/>
        <color rgb="FF000000"/>
        <rFont val="Arial"/>
        <family val="2"/>
      </rPr>
      <t xml:space="preserve"> </t>
    </r>
    <r>
      <rPr>
        <b/>
        <sz val="8"/>
        <color rgb="FF000000"/>
        <rFont val="Arial"/>
        <family val="2"/>
      </rPr>
      <t xml:space="preserve">                             </t>
    </r>
    <r>
      <rPr>
        <sz val="8"/>
        <color rgb="FF000000"/>
        <rFont val="Arial"/>
        <family val="2"/>
      </rPr>
      <t>Capital Budget spent</t>
    </r>
  </si>
  <si>
    <r>
      <t>15%</t>
    </r>
    <r>
      <rPr>
        <b/>
        <sz val="8"/>
        <color rgb="FF000000"/>
        <rFont val="Arial"/>
        <family val="2"/>
      </rPr>
      <t xml:space="preserve"> R 22 733 133</t>
    </r>
    <r>
      <rPr>
        <sz val="8"/>
        <color rgb="FF000000"/>
        <rFont val="Arial"/>
        <family val="2"/>
      </rPr>
      <t xml:space="preserve"> Capital Budget spent</t>
    </r>
  </si>
  <si>
    <r>
      <t xml:space="preserve">35% </t>
    </r>
    <r>
      <rPr>
        <b/>
        <sz val="8"/>
        <color rgb="FF000000"/>
        <rFont val="Arial"/>
        <family val="2"/>
      </rPr>
      <t>R 53 043 977</t>
    </r>
    <r>
      <rPr>
        <sz val="8"/>
        <color rgb="FF000000"/>
        <rFont val="Arial"/>
        <family val="2"/>
      </rPr>
      <t xml:space="preserve"> Capital Budget spent</t>
    </r>
  </si>
  <si>
    <r>
      <t>75%</t>
    </r>
    <r>
      <rPr>
        <b/>
        <sz val="8"/>
        <color rgb="FF000000"/>
        <rFont val="Arial"/>
        <family val="2"/>
      </rPr>
      <t xml:space="preserve"> R 113 665 665 </t>
    </r>
    <r>
      <rPr>
        <sz val="8"/>
        <color rgb="FF000000"/>
        <rFont val="Arial"/>
        <family val="2"/>
      </rPr>
      <t>Capital Budget spent</t>
    </r>
  </si>
  <si>
    <r>
      <t xml:space="preserve">100% </t>
    </r>
    <r>
      <rPr>
        <b/>
        <sz val="8"/>
        <color rgb="FF000000"/>
        <rFont val="Arial"/>
        <family val="2"/>
      </rPr>
      <t xml:space="preserve">  R 151 554 220                               </t>
    </r>
    <r>
      <rPr>
        <sz val="8"/>
        <color rgb="FF000000"/>
        <rFont val="Arial"/>
        <family val="2"/>
      </rPr>
      <t>Capital Budget spent</t>
    </r>
  </si>
  <si>
    <r>
      <t xml:space="preserve">100% </t>
    </r>
    <r>
      <rPr>
        <b/>
        <sz val="8"/>
        <rFont val="Arial"/>
        <family val="2"/>
      </rPr>
      <t xml:space="preserve"> R 402 534 443,36 </t>
    </r>
    <r>
      <rPr>
        <sz val="8"/>
        <rFont val="Arial"/>
        <family val="2"/>
      </rPr>
      <t>Operational Budget spent</t>
    </r>
  </si>
  <si>
    <r>
      <t>15%</t>
    </r>
    <r>
      <rPr>
        <b/>
        <sz val="8"/>
        <rFont val="Arial"/>
        <family val="2"/>
      </rPr>
      <t xml:space="preserve"> R60 380 166,50</t>
    </r>
    <r>
      <rPr>
        <sz val="8"/>
        <rFont val="Arial"/>
        <family val="2"/>
      </rPr>
      <t xml:space="preserve"> Capital Budget spent</t>
    </r>
  </si>
  <si>
    <r>
      <t xml:space="preserve">35% </t>
    </r>
    <r>
      <rPr>
        <b/>
        <sz val="8"/>
        <rFont val="Arial"/>
        <family val="2"/>
      </rPr>
      <t>R 140 887 055,18</t>
    </r>
    <r>
      <rPr>
        <sz val="8"/>
        <rFont val="Arial"/>
        <family val="2"/>
      </rPr>
      <t xml:space="preserve"> Capital Budget spent</t>
    </r>
  </si>
  <si>
    <r>
      <t xml:space="preserve">75% </t>
    </r>
    <r>
      <rPr>
        <b/>
        <sz val="8"/>
        <rFont val="Arial"/>
        <family val="2"/>
      </rPr>
      <t xml:space="preserve">R 281 774 110,35 </t>
    </r>
    <r>
      <rPr>
        <sz val="8"/>
        <rFont val="Arial"/>
        <family val="2"/>
      </rPr>
      <t>Capital Budget spent</t>
    </r>
  </si>
  <si>
    <r>
      <t xml:space="preserve">100% </t>
    </r>
    <r>
      <rPr>
        <b/>
        <sz val="8"/>
        <color rgb="FF000000"/>
        <rFont val="Arial"/>
        <family val="2"/>
      </rPr>
      <t xml:space="preserve">R 54 094 952,85 </t>
    </r>
    <r>
      <rPr>
        <sz val="8"/>
        <color rgb="FF000000"/>
        <rFont val="Arial"/>
        <family val="2"/>
      </rPr>
      <t xml:space="preserve"> MIG expenditure</t>
    </r>
  </si>
  <si>
    <r>
      <t xml:space="preserve">15% </t>
    </r>
    <r>
      <rPr>
        <b/>
        <sz val="8"/>
        <color rgb="FF000000"/>
        <rFont val="Arial"/>
        <family val="2"/>
      </rPr>
      <t>R 8 114 242,93</t>
    </r>
    <r>
      <rPr>
        <sz val="8"/>
        <color rgb="FF000000"/>
        <rFont val="Arial"/>
        <family val="2"/>
      </rPr>
      <t xml:space="preserve"> MIG expenditure</t>
    </r>
  </si>
  <si>
    <r>
      <t>35%</t>
    </r>
    <r>
      <rPr>
        <b/>
        <sz val="8"/>
        <color rgb="FF000000"/>
        <rFont val="Arial"/>
        <family val="2"/>
      </rPr>
      <t xml:space="preserve"> R 18 933 233,50</t>
    </r>
    <r>
      <rPr>
        <sz val="8"/>
        <color rgb="FF000000"/>
        <rFont val="Arial"/>
        <family val="2"/>
      </rPr>
      <t xml:space="preserve"> MIG expenditure</t>
    </r>
  </si>
  <si>
    <r>
      <t>70%</t>
    </r>
    <r>
      <rPr>
        <b/>
        <sz val="8"/>
        <color rgb="FF000000"/>
        <rFont val="Arial"/>
        <family val="2"/>
      </rPr>
      <t xml:space="preserve"> R 37 866 467</t>
    </r>
    <r>
      <rPr>
        <sz val="8"/>
        <color rgb="FF000000"/>
        <rFont val="Arial"/>
        <family val="2"/>
      </rPr>
      <t xml:space="preserve"> MIG expenditure</t>
    </r>
  </si>
  <si>
    <r>
      <t>100%</t>
    </r>
    <r>
      <rPr>
        <b/>
        <sz val="8"/>
        <color rgb="FF000000"/>
        <rFont val="Arial"/>
        <family val="2"/>
      </rPr>
      <t xml:space="preserve"> R 54 094 952,85 </t>
    </r>
    <r>
      <rPr>
        <sz val="8"/>
        <color rgb="FF000000"/>
        <rFont val="Arial"/>
        <family val="2"/>
      </rPr>
      <t>MIG expenditure</t>
    </r>
  </si>
  <si>
    <r>
      <t xml:space="preserve">100% </t>
    </r>
    <r>
      <rPr>
        <b/>
        <sz val="8"/>
        <color rgb="FF000000"/>
        <rFont val="Arial"/>
        <family val="2"/>
      </rPr>
      <t>R 0 INEP</t>
    </r>
    <r>
      <rPr>
        <sz val="8"/>
        <color rgb="FF000000"/>
        <rFont val="Arial"/>
        <family val="2"/>
      </rPr>
      <t xml:space="preserve"> expenditure</t>
    </r>
  </si>
  <si>
    <r>
      <t xml:space="preserve">15% </t>
    </r>
    <r>
      <rPr>
        <b/>
        <sz val="8"/>
        <color rgb="FF000000"/>
        <rFont val="Arial"/>
        <family val="2"/>
      </rPr>
      <t xml:space="preserve">R0  </t>
    </r>
    <r>
      <rPr>
        <sz val="8"/>
        <color rgb="FF000000"/>
        <rFont val="Arial"/>
        <family val="2"/>
      </rPr>
      <t>INEP expenditure</t>
    </r>
  </si>
  <si>
    <r>
      <t>35%</t>
    </r>
    <r>
      <rPr>
        <b/>
        <sz val="8"/>
        <color rgb="FF000000"/>
        <rFont val="Arial"/>
        <family val="2"/>
      </rPr>
      <t xml:space="preserve"> R0</t>
    </r>
    <r>
      <rPr>
        <sz val="8"/>
        <color rgb="FF000000"/>
        <rFont val="Arial"/>
        <family val="2"/>
      </rPr>
      <t xml:space="preserve"> INEP expenditure</t>
    </r>
  </si>
  <si>
    <r>
      <t>70%</t>
    </r>
    <r>
      <rPr>
        <b/>
        <sz val="8"/>
        <color rgb="FF000000"/>
        <rFont val="Arial"/>
        <family val="2"/>
      </rPr>
      <t xml:space="preserve"> R0 </t>
    </r>
    <r>
      <rPr>
        <sz val="8"/>
        <color rgb="FF000000"/>
        <rFont val="Arial"/>
        <family val="2"/>
      </rPr>
      <t>INEP expenditure</t>
    </r>
  </si>
  <si>
    <r>
      <t xml:space="preserve">100%  </t>
    </r>
    <r>
      <rPr>
        <b/>
        <sz val="8"/>
        <color rgb="FF000000"/>
        <rFont val="Arial"/>
        <family val="2"/>
      </rPr>
      <t>R 0</t>
    </r>
    <r>
      <rPr>
        <sz val="8"/>
        <color rgb="FF000000"/>
        <rFont val="Arial"/>
        <family val="2"/>
      </rPr>
      <t xml:space="preserve"> INEP expenditure</t>
    </r>
  </si>
  <si>
    <r>
      <t>100%</t>
    </r>
    <r>
      <rPr>
        <b/>
        <sz val="8"/>
        <rFont val="Arial"/>
        <family val="2"/>
      </rPr>
      <t xml:space="preserve"> R 2 145 000</t>
    </r>
    <r>
      <rPr>
        <sz val="8"/>
        <rFont val="Arial"/>
        <family val="2"/>
      </rPr>
      <t xml:space="preserve"> FMG expenditure</t>
    </r>
  </si>
  <si>
    <r>
      <t xml:space="preserve">15% </t>
    </r>
    <r>
      <rPr>
        <b/>
        <sz val="8"/>
        <rFont val="Arial"/>
        <family val="2"/>
      </rPr>
      <t xml:space="preserve">R321 750 </t>
    </r>
    <r>
      <rPr>
        <sz val="8"/>
        <rFont val="Arial"/>
        <family val="2"/>
      </rPr>
      <t>FMG Expenditure</t>
    </r>
  </si>
  <si>
    <r>
      <t>35 % R</t>
    </r>
    <r>
      <rPr>
        <b/>
        <sz val="8"/>
        <rFont val="Arial"/>
        <family val="2"/>
      </rPr>
      <t xml:space="preserve"> 750 750 </t>
    </r>
    <r>
      <rPr>
        <sz val="8"/>
        <rFont val="Arial"/>
        <family val="2"/>
      </rPr>
      <t>FMG Expenditure</t>
    </r>
  </si>
  <si>
    <r>
      <t>70%</t>
    </r>
    <r>
      <rPr>
        <b/>
        <sz val="8"/>
        <rFont val="Arial"/>
        <family val="2"/>
      </rPr>
      <t xml:space="preserve"> R 1 501 500</t>
    </r>
    <r>
      <rPr>
        <sz val="8"/>
        <rFont val="Arial"/>
        <family val="2"/>
      </rPr>
      <t xml:space="preserve"> FMG Expenditure</t>
    </r>
  </si>
  <si>
    <r>
      <t>100%</t>
    </r>
    <r>
      <rPr>
        <b/>
        <sz val="8"/>
        <rFont val="Arial"/>
        <family val="2"/>
      </rPr>
      <t xml:space="preserve"> R 2 145 000</t>
    </r>
    <r>
      <rPr>
        <sz val="8"/>
        <rFont val="Arial"/>
        <family val="2"/>
      </rPr>
      <t xml:space="preserve"> FMG Expenditure</t>
    </r>
  </si>
  <si>
    <r>
      <t xml:space="preserve">100% </t>
    </r>
    <r>
      <rPr>
        <b/>
        <sz val="8"/>
        <color rgb="FF000000"/>
        <rFont val="Arial"/>
        <family val="2"/>
      </rPr>
      <t>R 2 026 013,95</t>
    </r>
    <r>
      <rPr>
        <sz val="8"/>
        <color rgb="FF000000"/>
        <rFont val="Arial"/>
        <family val="2"/>
      </rPr>
      <t xml:space="preserve"> EPWP expenditure</t>
    </r>
  </si>
  <si>
    <r>
      <t xml:space="preserve">15% </t>
    </r>
    <r>
      <rPr>
        <b/>
        <sz val="8"/>
        <color rgb="FF000000"/>
        <rFont val="Arial"/>
        <family val="2"/>
      </rPr>
      <t xml:space="preserve">R 303 902,09 </t>
    </r>
    <r>
      <rPr>
        <sz val="8"/>
        <color rgb="FF000000"/>
        <rFont val="Arial"/>
        <family val="2"/>
      </rPr>
      <t>EPWP expenditure</t>
    </r>
  </si>
  <si>
    <r>
      <t>35%</t>
    </r>
    <r>
      <rPr>
        <b/>
        <sz val="8"/>
        <color rgb="FF000000"/>
        <rFont val="Arial"/>
        <family val="2"/>
      </rPr>
      <t xml:space="preserve"> R  709 104,88 </t>
    </r>
    <r>
      <rPr>
        <sz val="8"/>
        <color rgb="FF000000"/>
        <rFont val="Arial"/>
        <family val="2"/>
      </rPr>
      <t>EPWP expenditure</t>
    </r>
  </si>
  <si>
    <r>
      <t xml:space="preserve">70% </t>
    </r>
    <r>
      <rPr>
        <b/>
        <sz val="8"/>
        <color rgb="FF000000"/>
        <rFont val="Arial"/>
        <family val="2"/>
      </rPr>
      <t>R 1 418 209,77</t>
    </r>
    <r>
      <rPr>
        <sz val="8"/>
        <color rgb="FF000000"/>
        <rFont val="Arial"/>
        <family val="2"/>
      </rPr>
      <t xml:space="preserve"> EPWP expenditure</t>
    </r>
  </si>
  <si>
    <r>
      <t xml:space="preserve">100% </t>
    </r>
    <r>
      <rPr>
        <b/>
        <sz val="8"/>
        <rFont val="Arial"/>
        <family val="2"/>
      </rPr>
      <t>R 1 159 517</t>
    </r>
    <r>
      <rPr>
        <sz val="8"/>
        <rFont val="Arial"/>
        <family val="2"/>
      </rPr>
      <t xml:space="preserve"> FBS expenditure</t>
    </r>
  </si>
  <si>
    <r>
      <t xml:space="preserve">15% </t>
    </r>
    <r>
      <rPr>
        <b/>
        <sz val="8"/>
        <rFont val="Arial"/>
        <family val="2"/>
      </rPr>
      <t xml:space="preserve">R 173 927,55 </t>
    </r>
    <r>
      <rPr>
        <sz val="8"/>
        <rFont val="Arial"/>
        <family val="2"/>
      </rPr>
      <t>FBS expenditure</t>
    </r>
  </si>
  <si>
    <r>
      <t>35%</t>
    </r>
    <r>
      <rPr>
        <b/>
        <sz val="8"/>
        <rFont val="Arial"/>
        <family val="2"/>
      </rPr>
      <t xml:space="preserve"> R 405 830,95 </t>
    </r>
    <r>
      <rPr>
        <sz val="8"/>
        <rFont val="Arial"/>
        <family val="2"/>
      </rPr>
      <t xml:space="preserve"> FBS expenditure</t>
    </r>
  </si>
  <si>
    <r>
      <t xml:space="preserve">70% </t>
    </r>
    <r>
      <rPr>
        <b/>
        <sz val="8"/>
        <rFont val="Arial"/>
        <family val="2"/>
      </rPr>
      <t xml:space="preserve">R 811 661,90 </t>
    </r>
    <r>
      <rPr>
        <sz val="8"/>
        <rFont val="Arial"/>
        <family val="2"/>
      </rPr>
      <t>FBS expenditure</t>
    </r>
  </si>
  <si>
    <t>Supply &amp; delivery of Council Chamber Recording System</t>
  </si>
  <si>
    <t>Supply &amp; delivery of 2* Bathopele Tables</t>
  </si>
  <si>
    <t>Supply &amp; delibvery of Trophy Cabinet</t>
  </si>
  <si>
    <t xml:space="preserve"> positions filled</t>
  </si>
  <si>
    <t>36 positions filled by 30 May 2020</t>
  </si>
  <si>
    <t>To Refurbish Doreen 11 KV line by 30 June 2020</t>
  </si>
  <si>
    <t>Refurbishmentof  Doreen 11 KV line</t>
  </si>
  <si>
    <t>Refurbishment of  Doreen 11 KV line completed</t>
  </si>
  <si>
    <t>To supply and delivery of 30*Skip Bins by 30 June 2020</t>
  </si>
  <si>
    <t xml:space="preserve">Supply &amp; delivery of 30* Skip Bins </t>
  </si>
  <si>
    <t>30 Skip bins purchased and delivered</t>
  </si>
  <si>
    <t>Implementation of Land Use Scheme by 30 June 2020</t>
  </si>
  <si>
    <t>To Implementation of Land Use Scheme by 30 June 2020</t>
  </si>
  <si>
    <t>Tender Advertised and Appointment of Service Provider</t>
  </si>
  <si>
    <t>To Establish RA and DLTC (Mokwakwaila Licensing) by 30 June 2020</t>
  </si>
  <si>
    <t>Planning &amp; designs of Ramaroka street paving by 30 June 2023</t>
  </si>
  <si>
    <t>To Supply&amp; Install Cubicles-Kgapane DLTC Licensing by 30 June 2020</t>
  </si>
  <si>
    <t>To designs Rampepe access bridge by 30 June 2020</t>
  </si>
  <si>
    <t xml:space="preserve">Town Establishment on Uitspan 172-LT </t>
  </si>
  <si>
    <t xml:space="preserve">Town Establishment Meidingen 398-LT </t>
  </si>
  <si>
    <t>Town Establishment on Uitspan 172-LT  by 30 June 2019</t>
  </si>
  <si>
    <t>Town Establishment  at Meidigen 398-LT by 30 June 2019</t>
  </si>
  <si>
    <t>Land Use Application</t>
  </si>
  <si>
    <t>All wards</t>
  </si>
  <si>
    <t>Property services</t>
  </si>
  <si>
    <t>Rehabilitation of Ga-Kgapane streets-Phase 3</t>
  </si>
  <si>
    <t>Ramartoka street paving</t>
  </si>
  <si>
    <t>Mamokgadi street paving</t>
  </si>
  <si>
    <t>Lemondokop street paving</t>
  </si>
  <si>
    <t>Table A3</t>
  </si>
  <si>
    <t>Table A4</t>
  </si>
  <si>
    <t xml:space="preserve">Table SA25 </t>
  </si>
  <si>
    <t>Movement</t>
  </si>
  <si>
    <t>Adjusted Budget</t>
  </si>
  <si>
    <t>2019/20 REVIEWED SERVICE DELIVERY IMPLEMENTATION PLAN</t>
  </si>
  <si>
    <r>
      <t xml:space="preserve">          2019/20 Reviewed SDBIP Compiled By:                                           
-----------------------------------                                                             -----------------------------
</t>
    </r>
    <r>
      <rPr>
        <b/>
        <sz val="11"/>
        <color theme="1"/>
        <rFont val="Calibri"/>
        <family val="2"/>
        <scheme val="minor"/>
      </rPr>
      <t>Dr K.I Sirovha</t>
    </r>
    <r>
      <rPr>
        <sz val="11"/>
        <color theme="1"/>
        <rFont val="Calibri"/>
        <family val="2"/>
        <scheme val="minor"/>
      </rPr>
      <t xml:space="preserve">                                                                                        DATE
Municipal Manager
Greater-Letaba Muncipality
    SDBIP  Approved By:
--------------------------------------                                                        -----------------------------
</t>
    </r>
    <r>
      <rPr>
        <b/>
        <sz val="11"/>
        <color theme="1"/>
        <rFont val="Calibri"/>
        <family val="2"/>
        <scheme val="minor"/>
      </rPr>
      <t>CLLR M.P Matlou</t>
    </r>
    <r>
      <rPr>
        <sz val="11"/>
        <color theme="1"/>
        <rFont val="Calibri"/>
        <family val="2"/>
        <scheme val="minor"/>
      </rPr>
      <t xml:space="preserve">                                                                                 DATE
Mayor
Greater-Letaba Muncipality</t>
    </r>
  </si>
  <si>
    <t>To Purchase Trophy cabinet by 30 June 2020</t>
  </si>
  <si>
    <t>Ajusted Budget</t>
  </si>
  <si>
    <t>To purchase 60* Laptops by 30 June 2020</t>
  </si>
  <si>
    <t>Supply &amp; delivery of 60* Laptops</t>
  </si>
  <si>
    <t>Supply&amp; delivery of 5* Chain saws</t>
  </si>
  <si>
    <t>To purchsse 5 * Chain saws by 30 June 2020</t>
  </si>
  <si>
    <t>Fencing of Municipal workshop</t>
  </si>
  <si>
    <t>To Fence Municipal Workshop by 30 June 2020</t>
  </si>
  <si>
    <t>To rehabilitate Modjadjiskloof streets-Phase 2 by 30 June 2020</t>
  </si>
  <si>
    <t>To Re-routing of Christmas Rest HV line by 30 June 2021</t>
  </si>
  <si>
    <t>Re-routing of Christmas Rest HV line</t>
  </si>
  <si>
    <t xml:space="preserve">Appointment of the Service provider </t>
  </si>
  <si>
    <t>The project removed during during budget adjustement due to financial constratint and project prioritisation</t>
  </si>
  <si>
    <t>The project removed during during budget adjustement due to Financial constratint and project prioritisation</t>
  </si>
  <si>
    <t>The project removed during budget adjustment due to cashflow constraint</t>
  </si>
  <si>
    <t>The project removed during budget adjustment due to financial constraint and project prioritisation</t>
  </si>
  <si>
    <t>Site hand-over to commence with project implementation</t>
  </si>
  <si>
    <t>Appointment letter and site hand-over minuts</t>
  </si>
  <si>
    <t>The project removed during budget adjustment due to financial constraint and project re-prioritisation</t>
  </si>
  <si>
    <t>To purchase &amp; installation of Gate Old sub office and stores by June 2020</t>
  </si>
  <si>
    <t xml:space="preserve"> Appointment of Service provider and installation od Gate (Old sub office) supplied &amp; installed</t>
  </si>
  <si>
    <t>Appointment letter and Delivery note</t>
  </si>
  <si>
    <t>Specification and advertisement by SCM</t>
  </si>
  <si>
    <t>Appointment of 5x service providers</t>
  </si>
  <si>
    <t>Appointment letters, Progress report and Completion Certificates</t>
  </si>
  <si>
    <t>Construction continues. Progress report at 30% physical progress</t>
  </si>
  <si>
    <t>Appointment letter, Progress report &amp; Completion Certificate</t>
  </si>
  <si>
    <t>The project funding moved to Rehabilitation during budget adjustment due to financial constraint and project re-prioritisation</t>
  </si>
  <si>
    <t>Rehabilitation of Modjadjiskloof streets-Phase 2</t>
  </si>
  <si>
    <t>The project funding moved to Rehabilitation of Kgapane Street Paving during project re-prioritisation</t>
  </si>
  <si>
    <t xml:space="preserve">Appointment letter &amp; Progress report </t>
  </si>
  <si>
    <t>Construction continues. Progress report at 70% physical progress</t>
  </si>
  <si>
    <t>Construction continues. Progress report at 50% physical progress</t>
  </si>
  <si>
    <t>Appointment letter and design report</t>
  </si>
  <si>
    <t>Project design report complete</t>
  </si>
  <si>
    <t>Appointment letter and Delivery note/GRN</t>
  </si>
  <si>
    <t>Appointment of Service provider and project commencement</t>
  </si>
  <si>
    <t>Construction continues. Progress report at 85physical progress</t>
  </si>
  <si>
    <t>Construction continues. Progress report at 60% physical progress</t>
  </si>
  <si>
    <t>Construction continues. Progress report at 20% physical progress</t>
  </si>
  <si>
    <t>Construction continues. Progress report at 40% physical progress</t>
  </si>
  <si>
    <t>Progress report and Completion Certificate</t>
  </si>
  <si>
    <t xml:space="preserve">Progress report </t>
  </si>
  <si>
    <t>Construction continues. Progress report at 80% physical progress</t>
  </si>
  <si>
    <t>Construction continues. Progress report at 10% physical progress</t>
  </si>
  <si>
    <t>Completion of Thakgalane Stadium Ph1</t>
  </si>
  <si>
    <t>Completion of Madumeleng Stadium Ph1</t>
  </si>
  <si>
    <t>Completion of Jokong Street Paving Ph2</t>
  </si>
  <si>
    <t>Completion of Manningburg Street Paving</t>
  </si>
  <si>
    <t>Construction of Manningburg street paving(Multi-year)</t>
  </si>
  <si>
    <t>Project Completion Ph1</t>
  </si>
  <si>
    <t>To complete construction a Sport Complex in Madumeleng/ Shotong-Phase 01 by 30 June 2020</t>
  </si>
  <si>
    <t>To Construct Rasewana and Lenokwe streets-Phase 01 by 30 June 2020</t>
  </si>
  <si>
    <t>Construction of Rasewana and Lenokwe Streets paving (Multi-year)</t>
  </si>
  <si>
    <t>Construction of Madumeleng/shotong Sports Complex Ph1 (Multi-Year)</t>
  </si>
  <si>
    <t>Construction of Thakgalane Sports Complex Ph1( Multi-year)</t>
  </si>
  <si>
    <t xml:space="preserve">Adjustement of 2019/20 Service Delivery Budget Implementation Plan </t>
  </si>
  <si>
    <t xml:space="preserve">No indicators removed for all Key Performance Areas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</si>
</sst>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_(&quot;$&quot;* #,##0.00_);_(&quot;$&quot;* \(#,##0.00\);_(&quot;$&quot;* &quot;-&quot;??_);_(@_)"/>
    <numFmt numFmtId="165" formatCode="_(* #,##0.00_);_(* \(#,##0.00\);_(* &quot;-&quot;??_);_(@_)"/>
    <numFmt numFmtId="166" formatCode="_ &quot;R&quot;\ * #,##0.00_ ;_ &quot;R&quot;\ * \-#,##0.00_ ;_ &quot;R&quot;\ * &quot;-&quot;??_ ;_ @_ "/>
    <numFmt numFmtId="167" formatCode="_ * #,##0.00_ ;_ * \-#,##0.00_ ;_ * &quot;-&quot;??_ ;_ @_ "/>
    <numFmt numFmtId="168" formatCode="0;[Red]0"/>
    <numFmt numFmtId="169" formatCode="_(* #,##0,_);_(* \(#,##0,\);_(* &quot;–&quot;?_);_(@_)"/>
    <numFmt numFmtId="170" formatCode="#,###,;\(#,###,\)"/>
    <numFmt numFmtId="171" formatCode="_ * #,##0_ ;_ * \-#,##0_ ;_ * &quot;-&quot;??_ ;_ @_ "/>
    <numFmt numFmtId="172" formatCode="0.0%"/>
    <numFmt numFmtId="173" formatCode="#,###,;[Red]\(#,###,\)"/>
    <numFmt numFmtId="174" formatCode="_ * #,##0.0_ ;_ * \-#,##0.0_ ;_ * &quot;-&quot;??_ ;_ @_ "/>
  </numFmts>
  <fonts count="6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9"/>
      <name val="Calibri"/>
      <family val="2"/>
    </font>
    <font>
      <sz val="11"/>
      <color indexed="8"/>
      <name val="Aharoni"/>
    </font>
    <font>
      <sz val="10"/>
      <name val="Arial"/>
      <family val="2"/>
    </font>
    <font>
      <b/>
      <sz val="10"/>
      <name val="Arial"/>
      <family val="2"/>
    </font>
    <font>
      <sz val="8"/>
      <name val="Arial"/>
      <family val="2"/>
    </font>
    <font>
      <sz val="10"/>
      <color rgb="FF000000"/>
      <name val="Arial"/>
      <family val="2"/>
    </font>
    <font>
      <sz val="10"/>
      <color theme="1"/>
      <name val="Arial"/>
      <family val="2"/>
    </font>
    <font>
      <sz val="10"/>
      <color theme="1"/>
      <name val="Calibri"/>
      <family val="2"/>
      <scheme val="minor"/>
    </font>
    <font>
      <b/>
      <sz val="10"/>
      <color theme="1"/>
      <name val="Calibri"/>
      <family val="2"/>
      <scheme val="minor"/>
    </font>
    <font>
      <b/>
      <sz val="10"/>
      <color theme="1"/>
      <name val="Calibri"/>
      <family val="2"/>
    </font>
    <font>
      <b/>
      <u/>
      <sz val="9"/>
      <color rgb="FF000000"/>
      <name val="Arial"/>
      <family val="2"/>
    </font>
    <font>
      <b/>
      <sz val="8"/>
      <color rgb="FF000000"/>
      <name val="Arial"/>
      <family val="2"/>
    </font>
    <font>
      <sz val="8"/>
      <color rgb="FF000000"/>
      <name val="Arial"/>
      <family val="2"/>
    </font>
    <font>
      <b/>
      <sz val="14"/>
      <color indexed="8"/>
      <name val="Calibri"/>
      <family val="2"/>
    </font>
    <font>
      <sz val="10"/>
      <color indexed="8"/>
      <name val="Calibri"/>
      <family val="2"/>
    </font>
    <font>
      <sz val="10"/>
      <name val="Calibri"/>
      <family val="2"/>
      <scheme val="minor"/>
    </font>
    <font>
      <b/>
      <sz val="16"/>
      <color theme="1"/>
      <name val="Calibri"/>
      <family val="2"/>
      <scheme val="minor"/>
    </font>
    <font>
      <b/>
      <sz val="10"/>
      <color theme="1"/>
      <name val="Arial Narrow"/>
      <family val="2"/>
    </font>
    <font>
      <sz val="12"/>
      <color theme="1"/>
      <name val="Calibri"/>
      <family val="2"/>
      <scheme val="minor"/>
    </font>
    <font>
      <sz val="10"/>
      <color theme="1"/>
      <name val="Arial Narrow"/>
      <family val="2"/>
    </font>
    <font>
      <sz val="10"/>
      <color rgb="FF002060"/>
      <name val="Calibri"/>
      <family val="2"/>
      <scheme val="minor"/>
    </font>
    <font>
      <sz val="11"/>
      <color theme="1"/>
      <name val="Arial Narrow"/>
      <family val="2"/>
    </font>
    <font>
      <b/>
      <sz val="10"/>
      <name val="Arial Narrow"/>
      <family val="2"/>
    </font>
    <font>
      <sz val="8"/>
      <name val="Arial Narrow"/>
      <family val="2"/>
    </font>
    <font>
      <b/>
      <sz val="8"/>
      <name val="Arial Narrow"/>
      <family val="2"/>
    </font>
    <font>
      <i/>
      <sz val="8"/>
      <name val="Arial Narrow"/>
      <family val="2"/>
    </font>
    <font>
      <b/>
      <u/>
      <sz val="8"/>
      <name val="Arial Narrow"/>
      <family val="2"/>
    </font>
    <font>
      <i/>
      <u/>
      <sz val="8"/>
      <name val="Arial Narrow"/>
      <family val="2"/>
    </font>
    <font>
      <u/>
      <sz val="8"/>
      <name val="Arial Narrow"/>
      <family val="2"/>
    </font>
    <font>
      <b/>
      <i/>
      <sz val="8"/>
      <name val="Arial Narrow"/>
      <family val="2"/>
    </font>
    <font>
      <b/>
      <sz val="10"/>
      <name val="Calibri"/>
      <family val="2"/>
    </font>
    <font>
      <b/>
      <sz val="10"/>
      <color rgb="FF000000"/>
      <name val="Calibri"/>
      <family val="2"/>
      <scheme val="minor"/>
    </font>
    <font>
      <b/>
      <u/>
      <sz val="10"/>
      <color rgb="FF000000"/>
      <name val="Calibri"/>
      <family val="2"/>
      <scheme val="minor"/>
    </font>
    <font>
      <sz val="10"/>
      <color rgb="FF000000"/>
      <name val="Calibri"/>
      <family val="2"/>
      <scheme val="minor"/>
    </font>
    <font>
      <sz val="10"/>
      <name val="Arial Narrow"/>
      <family val="2"/>
    </font>
    <font>
      <b/>
      <sz val="8"/>
      <name val="Arial"/>
      <family val="2"/>
    </font>
    <font>
      <b/>
      <sz val="8"/>
      <color theme="1"/>
      <name val="Arial"/>
      <family val="2"/>
    </font>
    <font>
      <sz val="8"/>
      <color theme="1"/>
      <name val="Calibri"/>
      <family val="2"/>
      <scheme val="minor"/>
    </font>
    <font>
      <b/>
      <u/>
      <sz val="8"/>
      <color rgb="FF000000"/>
      <name val="Arial"/>
      <family val="2"/>
    </font>
    <font>
      <sz val="8"/>
      <color theme="1"/>
      <name val="Arial"/>
      <family val="2"/>
    </font>
    <font>
      <sz val="8"/>
      <name val="Calibri"/>
      <family val="2"/>
      <scheme val="minor"/>
    </font>
    <font>
      <b/>
      <sz val="8"/>
      <color theme="1"/>
      <name val="Calibri"/>
      <family val="2"/>
      <scheme val="minor"/>
    </font>
    <font>
      <b/>
      <sz val="8"/>
      <color theme="1"/>
      <name val="Calibri"/>
      <family val="2"/>
    </font>
    <font>
      <b/>
      <sz val="10"/>
      <color rgb="FF000000"/>
      <name val="Arial"/>
      <family val="2"/>
    </font>
    <font>
      <b/>
      <u/>
      <sz val="10"/>
      <color rgb="FF000000"/>
      <name val="Arial"/>
      <family val="2"/>
    </font>
    <font>
      <b/>
      <sz val="10"/>
      <color theme="1"/>
      <name val="Arial"/>
      <family val="2"/>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57"/>
        <bgColor indexed="10"/>
      </patternFill>
    </fill>
    <fill>
      <patternFill patternType="solid">
        <fgColor theme="0"/>
        <bgColor indexed="64"/>
      </patternFill>
    </fill>
    <fill>
      <patternFill patternType="solid">
        <fgColor theme="3" tint="0.39997558519241921"/>
        <bgColor indexed="64"/>
      </patternFill>
    </fill>
    <fill>
      <patternFill patternType="solid">
        <fgColor indexed="53"/>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9"/>
        <bgColor indexed="64"/>
      </patternFill>
    </fill>
    <fill>
      <patternFill patternType="solid">
        <fgColor rgb="FFFFFF99"/>
        <bgColor indexed="64"/>
      </patternFill>
    </fill>
    <fill>
      <patternFill patternType="solid">
        <fgColor theme="0" tint="-0.14999847407452621"/>
        <bgColor indexed="64"/>
      </patternFill>
    </fill>
    <fill>
      <patternFill patternType="solid">
        <fgColor indexed="43"/>
        <bgColor indexed="64"/>
      </patternFill>
    </fill>
    <fill>
      <patternFill patternType="solid">
        <fgColor indexed="41"/>
        <bgColor indexed="64"/>
      </patternFill>
    </fill>
  </fills>
  <borders count="1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double">
        <color indexed="64"/>
      </left>
      <right style="double">
        <color indexed="64"/>
      </right>
      <top style="double">
        <color indexed="64"/>
      </top>
      <bottom/>
      <diagonal/>
    </border>
    <border>
      <left style="thin">
        <color indexed="64"/>
      </left>
      <right style="thin">
        <color indexed="64"/>
      </right>
      <top style="thin">
        <color indexed="64"/>
      </top>
      <bottom style="thin">
        <color indexed="64"/>
      </bottom>
      <diagonal/>
    </border>
    <border>
      <left style="double">
        <color auto="1"/>
      </left>
      <right style="double">
        <color auto="1"/>
      </right>
      <top/>
      <bottom style="double">
        <color auto="1"/>
      </bottom>
      <diagonal/>
    </border>
    <border>
      <left style="double">
        <color indexed="64"/>
      </left>
      <right/>
      <top/>
      <bottom style="double">
        <color indexed="64"/>
      </bottom>
      <diagonal/>
    </border>
    <border>
      <left/>
      <right/>
      <top/>
      <bottom style="double">
        <color auto="1"/>
      </bottom>
      <diagonal/>
    </border>
    <border>
      <left style="double">
        <color auto="1"/>
      </left>
      <right style="double">
        <color auto="1"/>
      </right>
      <top style="double">
        <color auto="1"/>
      </top>
      <bottom style="double">
        <color auto="1"/>
      </bottom>
      <diagonal/>
    </border>
    <border>
      <left/>
      <right/>
      <top style="double">
        <color auto="1"/>
      </top>
      <bottom/>
      <diagonal/>
    </border>
    <border>
      <left/>
      <right style="double">
        <color auto="1"/>
      </right>
      <top style="double">
        <color auto="1"/>
      </top>
      <bottom/>
      <diagonal/>
    </border>
    <border>
      <left/>
      <right style="double">
        <color auto="1"/>
      </right>
      <top/>
      <bottom style="double">
        <color auto="1"/>
      </bottom>
      <diagonal/>
    </border>
    <border>
      <left style="double">
        <color auto="1"/>
      </left>
      <right/>
      <top style="double">
        <color indexed="64"/>
      </top>
      <bottom/>
      <diagonal/>
    </border>
    <border>
      <left/>
      <right style="double">
        <color auto="1"/>
      </right>
      <top/>
      <bottom/>
      <diagonal/>
    </border>
    <border>
      <left style="double">
        <color rgb="FF0D0D0D"/>
      </left>
      <right/>
      <top style="double">
        <color rgb="FF0D0D0D"/>
      </top>
      <bottom/>
      <diagonal/>
    </border>
    <border>
      <left/>
      <right/>
      <top style="double">
        <color rgb="FF0D0D0D"/>
      </top>
      <bottom/>
      <diagonal/>
    </border>
    <border>
      <left/>
      <right style="double">
        <color rgb="FF0D0D0D"/>
      </right>
      <top style="double">
        <color rgb="FF0D0D0D"/>
      </top>
      <bottom/>
      <diagonal/>
    </border>
    <border>
      <left style="double">
        <color rgb="FF0D0D0D"/>
      </left>
      <right/>
      <top/>
      <bottom/>
      <diagonal/>
    </border>
    <border>
      <left/>
      <right style="double">
        <color rgb="FF0D0D0D"/>
      </right>
      <top/>
      <bottom/>
      <diagonal/>
    </border>
    <border>
      <left style="double">
        <color rgb="FF0D0D0D"/>
      </left>
      <right/>
      <top/>
      <bottom style="double">
        <color rgb="FF0D0D0D"/>
      </bottom>
      <diagonal/>
    </border>
    <border>
      <left/>
      <right/>
      <top/>
      <bottom style="double">
        <color rgb="FF0D0D0D"/>
      </bottom>
      <diagonal/>
    </border>
    <border>
      <left/>
      <right style="double">
        <color rgb="FF0D0D0D"/>
      </right>
      <top/>
      <bottom style="double">
        <color rgb="FF0D0D0D"/>
      </bottom>
      <diagonal/>
    </border>
    <border>
      <left style="double">
        <color rgb="FF0D0D0D"/>
      </left>
      <right style="double">
        <color rgb="FF0D0D0D"/>
      </right>
      <top style="double">
        <color rgb="FF0D0D0D"/>
      </top>
      <bottom style="double">
        <color rgb="FF0D0D0D"/>
      </bottom>
      <diagonal/>
    </border>
    <border>
      <left style="double">
        <color rgb="FF0D0D0D"/>
      </left>
      <right style="double">
        <color rgb="FF0D0D0D"/>
      </right>
      <top/>
      <bottom style="double">
        <color rgb="FF0D0D0D"/>
      </bottom>
      <diagonal/>
    </border>
    <border>
      <left style="thin">
        <color indexed="64"/>
      </left>
      <right style="thin">
        <color indexed="64"/>
      </right>
      <top/>
      <bottom style="thin">
        <color indexed="64"/>
      </bottom>
      <diagonal/>
    </border>
    <border>
      <left/>
      <right/>
      <top style="double">
        <color indexed="64"/>
      </top>
      <bottom style="double">
        <color rgb="FF0D0D0D"/>
      </bottom>
      <diagonal/>
    </border>
    <border>
      <left/>
      <right style="double">
        <color indexed="64"/>
      </right>
      <top style="double">
        <color indexed="64"/>
      </top>
      <bottom style="double">
        <color rgb="FF0D0D0D"/>
      </bottom>
      <diagonal/>
    </border>
    <border>
      <left style="double">
        <color indexed="64"/>
      </left>
      <right style="double">
        <color auto="1"/>
      </right>
      <top style="double">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auto="1"/>
      </right>
      <top style="double">
        <color indexed="64"/>
      </top>
      <bottom/>
      <diagonal/>
    </border>
    <border>
      <left style="double">
        <color indexed="64"/>
      </left>
      <right style="double">
        <color indexed="64"/>
      </right>
      <top style="double">
        <color indexed="64"/>
      </top>
      <bottom/>
      <diagonal/>
    </border>
    <border>
      <left/>
      <right style="double">
        <color auto="1"/>
      </right>
      <top style="double">
        <color auto="1"/>
      </top>
      <bottom style="double">
        <color auto="1"/>
      </bottom>
      <diagonal/>
    </border>
    <border>
      <left style="double">
        <color auto="1"/>
      </left>
      <right style="double">
        <color auto="1"/>
      </right>
      <top/>
      <bottom/>
      <diagonal/>
    </border>
    <border>
      <left style="double">
        <color auto="1"/>
      </left>
      <right style="double">
        <color auto="1"/>
      </right>
      <top style="double">
        <color auto="1"/>
      </top>
      <bottom style="double">
        <color auto="1"/>
      </bottom>
      <diagonal/>
    </border>
    <border>
      <left style="double">
        <color theme="2" tint="-0.499984740745262"/>
      </left>
      <right style="double">
        <color theme="2" tint="-0.499984740745262"/>
      </right>
      <top style="double">
        <color theme="2" tint="-0.499984740745262"/>
      </top>
      <bottom/>
      <diagonal/>
    </border>
    <border>
      <left style="double">
        <color theme="2" tint="-0.499984740745262"/>
      </left>
      <right style="double">
        <color theme="2" tint="-0.499984740745262"/>
      </right>
      <top/>
      <bottom/>
      <diagonal/>
    </border>
    <border>
      <left style="double">
        <color theme="2" tint="-0.499984740745262"/>
      </left>
      <right style="double">
        <color theme="2" tint="-0.499984740745262"/>
      </right>
      <top/>
      <bottom style="double">
        <color theme="2" tint="-0.499984740745262"/>
      </bottom>
      <diagonal/>
    </border>
    <border>
      <left style="double">
        <color theme="2" tint="-0.499984740745262"/>
      </left>
      <right style="double">
        <color theme="2" tint="-0.499984740745262"/>
      </right>
      <top style="double">
        <color theme="2" tint="-0.499984740745262"/>
      </top>
      <bottom style="double">
        <color theme="2" tint="-0.499984740745262"/>
      </bottom>
      <diagonal/>
    </border>
    <border>
      <left style="double">
        <color theme="2" tint="-0.749961851863155"/>
      </left>
      <right style="double">
        <color theme="2" tint="-0.749961851863155"/>
      </right>
      <top style="double">
        <color theme="2" tint="-0.749961851863155"/>
      </top>
      <bottom style="double">
        <color theme="2" tint="-0.749961851863155"/>
      </bottom>
      <diagonal/>
    </border>
    <border>
      <left style="double">
        <color theme="1" tint="0.34998626667073579"/>
      </left>
      <right style="double">
        <color theme="1" tint="0.34998626667073579"/>
      </right>
      <top/>
      <bottom style="double">
        <color theme="1" tint="0.34998626667073579"/>
      </bottom>
      <diagonal/>
    </border>
    <border>
      <left style="double">
        <color rgb="FF0D0D0D"/>
      </left>
      <right style="double">
        <color rgb="FF0D0D0D"/>
      </right>
      <top/>
      <bottom/>
      <diagonal/>
    </border>
    <border>
      <left style="double">
        <color auto="1"/>
      </left>
      <right style="double">
        <color rgb="FF0D0D0D"/>
      </right>
      <top style="double">
        <color auto="1"/>
      </top>
      <bottom style="double">
        <color auto="1"/>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bottom/>
      <diagonal/>
    </border>
    <border>
      <left style="thin">
        <color indexed="64"/>
      </left>
      <right style="thin">
        <color indexed="64"/>
      </right>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top style="hair">
        <color indexed="64"/>
      </top>
      <bottom/>
      <diagonal/>
    </border>
    <border>
      <left style="hair">
        <color indexed="64"/>
      </left>
      <right/>
      <top/>
      <bottom/>
      <diagonal/>
    </border>
    <border>
      <left style="double">
        <color indexed="23"/>
      </left>
      <right style="double">
        <color indexed="23"/>
      </right>
      <top style="double">
        <color indexed="23"/>
      </top>
      <bottom style="double">
        <color indexed="23"/>
      </bottom>
      <diagonal/>
    </border>
    <border>
      <left style="double">
        <color auto="1"/>
      </left>
      <right style="double">
        <color auto="1"/>
      </right>
      <top style="double">
        <color auto="1"/>
      </top>
      <bottom style="double">
        <color auto="1"/>
      </bottom>
      <diagonal/>
    </border>
    <border>
      <left style="double">
        <color indexed="64"/>
      </left>
      <right style="double">
        <color indexed="64"/>
      </right>
      <top style="double">
        <color indexed="64"/>
      </top>
      <bottom/>
      <diagonal/>
    </border>
    <border>
      <left style="double">
        <color indexed="64"/>
      </left>
      <right/>
      <top style="double">
        <color indexed="64"/>
      </top>
      <bottom style="double">
        <color indexed="64"/>
      </bottom>
      <diagonal/>
    </border>
    <border>
      <left/>
      <right/>
      <top style="double">
        <color auto="1"/>
      </top>
      <bottom style="double">
        <color auto="1"/>
      </bottom>
      <diagonal/>
    </border>
    <border>
      <left/>
      <right/>
      <top style="thin">
        <color indexed="64"/>
      </top>
      <bottom/>
      <diagonal/>
    </border>
    <border>
      <left style="double">
        <color auto="1"/>
      </left>
      <right/>
      <top style="double">
        <color indexed="64"/>
      </top>
      <bottom/>
      <diagonal/>
    </border>
    <border>
      <left/>
      <right/>
      <top style="double">
        <color auto="1"/>
      </top>
      <bottom/>
      <diagonal/>
    </border>
    <border>
      <left/>
      <right style="double">
        <color auto="1"/>
      </right>
      <top style="double">
        <color auto="1"/>
      </top>
      <bottom/>
      <diagonal/>
    </border>
    <border>
      <left style="double">
        <color indexed="23"/>
      </left>
      <right style="double">
        <color indexed="23"/>
      </right>
      <top style="double">
        <color indexed="23"/>
      </top>
      <bottom style="double">
        <color indexed="23"/>
      </bottom>
      <diagonal/>
    </border>
    <border>
      <left/>
      <right/>
      <top/>
      <bottom style="thin">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hair">
        <color indexed="64"/>
      </top>
      <bottom/>
      <diagonal/>
    </border>
    <border>
      <left/>
      <right/>
      <top style="hair">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hair">
        <color indexed="64"/>
      </top>
      <bottom style="hair">
        <color indexed="64"/>
      </bottom>
      <diagonal/>
    </border>
    <border>
      <left style="double">
        <color indexed="64"/>
      </left>
      <right style="double">
        <color auto="1"/>
      </right>
      <top style="double">
        <color indexed="64"/>
      </top>
      <bottom style="double">
        <color indexed="64"/>
      </bottom>
      <diagonal/>
    </border>
  </borders>
  <cellStyleXfs count="225">
    <xf numFmtId="0" fontId="0" fillId="0" borderId="0"/>
    <xf numFmtId="167" fontId="1" fillId="0" borderId="0" applyFont="0" applyFill="0" applyBorder="0" applyAlignment="0" applyProtection="0"/>
    <xf numFmtId="166"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167" fontId="19" fillId="0" borderId="0" applyFont="0" applyFill="0" applyBorder="0" applyAlignment="0" applyProtection="0"/>
    <xf numFmtId="165" fontId="20" fillId="0" borderId="0" applyFont="0" applyFill="0" applyBorder="0" applyAlignment="0" applyProtection="0"/>
    <xf numFmtId="0"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5"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5" fontId="20" fillId="0" borderId="0" applyFont="0" applyFill="0" applyBorder="0" applyAlignment="0" applyProtection="0"/>
    <xf numFmtId="0" fontId="20" fillId="0" borderId="0" applyFont="0" applyFill="0" applyBorder="0" applyAlignment="0" applyProtection="0"/>
    <xf numFmtId="167"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 fillId="0" borderId="0" applyFont="0" applyFill="0" applyBorder="0" applyAlignment="0" applyProtection="0"/>
  </cellStyleXfs>
  <cellXfs count="689">
    <xf numFmtId="0" fontId="0" fillId="0" borderId="0" xfId="0"/>
    <xf numFmtId="0" fontId="0" fillId="0" borderId="0" xfId="0"/>
    <xf numFmtId="0" fontId="25" fillId="34" borderId="17" xfId="0" applyFont="1" applyFill="1" applyBorder="1" applyAlignment="1">
      <alignment vertical="top" wrapText="1"/>
    </xf>
    <xf numFmtId="0" fontId="25" fillId="0" borderId="0" xfId="0" applyFont="1"/>
    <xf numFmtId="0" fontId="30" fillId="0" borderId="31" xfId="0" applyFont="1" applyBorder="1" applyAlignment="1">
      <alignment horizontal="center" vertical="top" wrapText="1"/>
    </xf>
    <xf numFmtId="0" fontId="22" fillId="0" borderId="31" xfId="0" applyFont="1" applyBorder="1" applyAlignment="1">
      <alignment vertical="top" wrapText="1"/>
    </xf>
    <xf numFmtId="0" fontId="30" fillId="0" borderId="31" xfId="0" applyFont="1" applyBorder="1" applyAlignment="1">
      <alignment vertical="top" wrapText="1"/>
    </xf>
    <xf numFmtId="0" fontId="22" fillId="34" borderId="31" xfId="0" applyFont="1" applyFill="1" applyBorder="1" applyAlignment="1">
      <alignment vertical="top" wrapText="1"/>
    </xf>
    <xf numFmtId="0" fontId="30" fillId="34" borderId="31" xfId="0" applyFont="1" applyFill="1" applyBorder="1" applyAlignment="1">
      <alignment vertical="top" wrapText="1"/>
    </xf>
    <xf numFmtId="0" fontId="22" fillId="34" borderId="31" xfId="0" applyFont="1" applyFill="1" applyBorder="1" applyAlignment="1">
      <alignment horizontal="left" vertical="top" wrapText="1"/>
    </xf>
    <xf numFmtId="0" fontId="22" fillId="34" borderId="31" xfId="0" applyFont="1" applyFill="1" applyBorder="1" applyAlignment="1">
      <alignment horizontal="center" vertical="top" wrapText="1"/>
    </xf>
    <xf numFmtId="0" fontId="30" fillId="34" borderId="31" xfId="0" applyFont="1" applyFill="1" applyBorder="1" applyAlignment="1">
      <alignment horizontal="center" vertical="top" wrapText="1"/>
    </xf>
    <xf numFmtId="0" fontId="0" fillId="35" borderId="0" xfId="0" applyFill="1"/>
    <xf numFmtId="0" fontId="35" fillId="38" borderId="40" xfId="0" applyFont="1" applyFill="1" applyBorder="1" applyAlignment="1">
      <alignment vertical="top"/>
    </xf>
    <xf numFmtId="0" fontId="0" fillId="38" borderId="40" xfId="0" applyFont="1" applyFill="1" applyBorder="1" applyAlignment="1">
      <alignment vertical="top" wrapText="1"/>
    </xf>
    <xf numFmtId="0" fontId="35" fillId="38" borderId="14" xfId="0" applyFont="1" applyFill="1" applyBorder="1" applyAlignment="1">
      <alignment horizontal="left" vertical="top" wrapText="1"/>
    </xf>
    <xf numFmtId="0" fontId="0" fillId="38" borderId="14" xfId="0" applyFill="1" applyBorder="1" applyAlignment="1">
      <alignment vertical="top" wrapText="1"/>
    </xf>
    <xf numFmtId="0" fontId="16" fillId="38" borderId="43" xfId="0" applyFont="1" applyFill="1" applyBorder="1" applyAlignment="1">
      <alignment vertical="top"/>
    </xf>
    <xf numFmtId="0" fontId="0" fillId="38" borderId="43" xfId="0" applyFill="1" applyBorder="1" applyAlignment="1">
      <alignment vertical="top" wrapText="1"/>
    </xf>
    <xf numFmtId="0" fontId="37" fillId="39" borderId="44" xfId="0" applyFont="1" applyFill="1" applyBorder="1" applyAlignment="1">
      <alignment vertical="top"/>
    </xf>
    <xf numFmtId="0" fontId="37" fillId="40" borderId="44" xfId="0" applyFont="1" applyFill="1" applyBorder="1" applyAlignment="1">
      <alignment vertical="top" wrapText="1"/>
    </xf>
    <xf numFmtId="0" fontId="0" fillId="0" borderId="0" xfId="0" applyFont="1"/>
    <xf numFmtId="0" fontId="37" fillId="39" borderId="45" xfId="0" applyFont="1" applyFill="1" applyBorder="1" applyAlignment="1">
      <alignment vertical="top"/>
    </xf>
    <xf numFmtId="0" fontId="37" fillId="40" borderId="45" xfId="0" applyFont="1" applyFill="1" applyBorder="1" applyAlignment="1">
      <alignment vertical="top" wrapText="1"/>
    </xf>
    <xf numFmtId="0" fontId="37" fillId="39" borderId="46" xfId="0" applyFont="1" applyFill="1" applyBorder="1" applyAlignment="1">
      <alignment vertical="top"/>
    </xf>
    <xf numFmtId="0" fontId="37" fillId="40" borderId="46" xfId="0" applyFont="1" applyFill="1" applyBorder="1" applyAlignment="1">
      <alignment vertical="top" wrapText="1"/>
    </xf>
    <xf numFmtId="0" fontId="37" fillId="40" borderId="48" xfId="0" applyFont="1" applyFill="1" applyBorder="1" applyAlignment="1">
      <alignment vertical="top" wrapText="1"/>
    </xf>
    <xf numFmtId="0" fontId="38" fillId="39" borderId="49" xfId="0" applyFont="1" applyFill="1" applyBorder="1" applyAlignment="1">
      <alignment horizontal="left" vertical="top" wrapText="1"/>
    </xf>
    <xf numFmtId="0" fontId="33" fillId="40" borderId="49" xfId="0" applyFont="1" applyFill="1" applyBorder="1" applyAlignment="1">
      <alignment vertical="top" wrapText="1"/>
    </xf>
    <xf numFmtId="0" fontId="39" fillId="40" borderId="47" xfId="0" applyFont="1" applyFill="1" applyBorder="1" applyAlignment="1">
      <alignment vertical="top" wrapText="1"/>
    </xf>
    <xf numFmtId="0" fontId="37" fillId="40" borderId="47" xfId="0" applyFont="1" applyFill="1" applyBorder="1" applyAlignment="1">
      <alignment horizontal="justify" vertical="top"/>
    </xf>
    <xf numFmtId="0" fontId="39" fillId="40" borderId="47" xfId="0" applyFont="1" applyFill="1" applyBorder="1"/>
    <xf numFmtId="0" fontId="35" fillId="40" borderId="47" xfId="0" applyFont="1" applyFill="1" applyBorder="1" applyAlignment="1">
      <alignment vertical="top" wrapText="1"/>
    </xf>
    <xf numFmtId="0" fontId="39" fillId="39" borderId="0" xfId="0" applyFont="1" applyFill="1"/>
    <xf numFmtId="0" fontId="39" fillId="40" borderId="45" xfId="0" applyFont="1" applyFill="1" applyBorder="1"/>
    <xf numFmtId="0" fontId="39" fillId="40" borderId="46" xfId="0" applyFont="1" applyFill="1" applyBorder="1"/>
    <xf numFmtId="0" fontId="39" fillId="40" borderId="0" xfId="0" applyFont="1" applyFill="1"/>
    <xf numFmtId="0" fontId="25" fillId="34" borderId="43" xfId="0" applyFont="1" applyFill="1" applyBorder="1" applyAlignment="1">
      <alignment vertical="top" wrapText="1"/>
    </xf>
    <xf numFmtId="0" fontId="0" fillId="34" borderId="0" xfId="0" applyFill="1"/>
    <xf numFmtId="0" fontId="25" fillId="34" borderId="0" xfId="0" applyFont="1" applyFill="1"/>
    <xf numFmtId="0" fontId="33" fillId="34" borderId="43" xfId="0" applyFont="1" applyFill="1" applyBorder="1" applyAlignment="1">
      <alignment vertical="top" wrapText="1"/>
    </xf>
    <xf numFmtId="0" fontId="20" fillId="34" borderId="10" xfId="0" applyFont="1" applyFill="1" applyBorder="1" applyAlignment="1">
      <alignment vertical="top" wrapText="1"/>
    </xf>
    <xf numFmtId="0" fontId="39" fillId="39" borderId="47" xfId="0" applyFont="1" applyFill="1" applyBorder="1" applyAlignment="1">
      <alignment horizontal="left" vertical="top" wrapText="1"/>
    </xf>
    <xf numFmtId="0" fontId="29" fillId="41" borderId="31" xfId="0" applyFont="1" applyFill="1" applyBorder="1" applyAlignment="1">
      <alignment horizontal="center" vertical="top" wrapText="1"/>
    </xf>
    <xf numFmtId="0" fontId="29" fillId="41" borderId="31" xfId="0" applyFont="1" applyFill="1" applyBorder="1" applyAlignment="1">
      <alignment vertical="top" wrapText="1"/>
    </xf>
    <xf numFmtId="4" fontId="29" fillId="41" borderId="31" xfId="0" applyNumberFormat="1" applyFont="1" applyFill="1" applyBorder="1" applyAlignment="1">
      <alignment horizontal="center" vertical="top" wrapText="1"/>
    </xf>
    <xf numFmtId="0" fontId="41" fillId="0" borderId="0" xfId="0" applyFont="1"/>
    <xf numFmtId="0" fontId="41" fillId="0" borderId="0" xfId="0" applyFont="1" applyAlignment="1">
      <alignment horizontal="center"/>
    </xf>
    <xf numFmtId="0" fontId="42" fillId="0" borderId="63" xfId="0" applyFont="1" applyFill="1" applyBorder="1" applyAlignment="1">
      <alignment horizontal="left" vertical="center"/>
    </xf>
    <xf numFmtId="0" fontId="41" fillId="0" borderId="64" xfId="0" applyFont="1" applyFill="1" applyBorder="1" applyAlignment="1">
      <alignment horizontal="center" vertical="center"/>
    </xf>
    <xf numFmtId="0" fontId="42" fillId="0" borderId="68" xfId="0" applyFont="1" applyBorder="1" applyAlignment="1" applyProtection="1">
      <alignment horizontal="center"/>
    </xf>
    <xf numFmtId="169" fontId="42" fillId="0" borderId="67" xfId="0" applyNumberFormat="1" applyFont="1" applyBorder="1" applyAlignment="1">
      <alignment horizontal="right"/>
    </xf>
    <xf numFmtId="169" fontId="42" fillId="0" borderId="61" xfId="0" applyNumberFormat="1" applyFont="1" applyBorder="1" applyAlignment="1">
      <alignment horizontal="right"/>
    </xf>
    <xf numFmtId="169" fontId="41" fillId="0" borderId="61" xfId="0" applyNumberFormat="1" applyFont="1" applyBorder="1"/>
    <xf numFmtId="169" fontId="41" fillId="42" borderId="61" xfId="0" applyNumberFormat="1" applyFont="1" applyFill="1" applyBorder="1" applyProtection="1">
      <protection locked="0"/>
    </xf>
    <xf numFmtId="169" fontId="42" fillId="0" borderId="70" xfId="0" applyNumberFormat="1" applyFont="1" applyBorder="1" applyAlignment="1" applyProtection="1">
      <alignment horizontal="right"/>
    </xf>
    <xf numFmtId="169" fontId="42" fillId="0" borderId="58" xfId="0" applyNumberFormat="1" applyFont="1" applyBorder="1" applyAlignment="1" applyProtection="1">
      <alignment horizontal="right"/>
    </xf>
    <xf numFmtId="169" fontId="41" fillId="0" borderId="71" xfId="0" applyNumberFormat="1" applyFont="1" applyBorder="1" applyProtection="1"/>
    <xf numFmtId="169" fontId="41" fillId="0" borderId="64" xfId="0" applyNumberFormat="1" applyFont="1" applyBorder="1" applyProtection="1"/>
    <xf numFmtId="169" fontId="42" fillId="0" borderId="67" xfId="0" applyNumberFormat="1" applyFont="1" applyBorder="1" applyAlignment="1" applyProtection="1">
      <alignment horizontal="right"/>
    </xf>
    <xf numFmtId="169" fontId="42" fillId="0" borderId="61" xfId="0" applyNumberFormat="1" applyFont="1" applyBorder="1" applyAlignment="1" applyProtection="1">
      <alignment horizontal="right"/>
    </xf>
    <xf numFmtId="169" fontId="41" fillId="40" borderId="67" xfId="0" applyNumberFormat="1" applyFont="1" applyFill="1" applyBorder="1" applyProtection="1">
      <protection locked="0"/>
    </xf>
    <xf numFmtId="169" fontId="41" fillId="42" borderId="67" xfId="0" applyNumberFormat="1" applyFont="1" applyFill="1" applyBorder="1" applyProtection="1">
      <protection locked="0"/>
    </xf>
    <xf numFmtId="0" fontId="42" fillId="0" borderId="56" xfId="0" applyFont="1" applyBorder="1" applyAlignment="1">
      <alignment horizontal="left"/>
    </xf>
    <xf numFmtId="169" fontId="42" fillId="0" borderId="70" xfId="0" applyNumberFormat="1" applyFont="1" applyBorder="1"/>
    <xf numFmtId="169" fontId="42" fillId="0" borderId="58" xfId="0" applyNumberFormat="1" applyFont="1" applyBorder="1"/>
    <xf numFmtId="169" fontId="42" fillId="0" borderId="59" xfId="0" applyNumberFormat="1" applyFont="1" applyBorder="1"/>
    <xf numFmtId="0" fontId="41" fillId="0" borderId="56" xfId="0" applyFont="1" applyBorder="1"/>
    <xf numFmtId="169" fontId="42" fillId="0" borderId="61" xfId="0" applyNumberFormat="1" applyFont="1" applyBorder="1"/>
    <xf numFmtId="169" fontId="42" fillId="0" borderId="75" xfId="0" applyNumberFormat="1" applyFont="1" applyBorder="1"/>
    <xf numFmtId="0" fontId="43" fillId="0" borderId="0" xfId="0" applyFont="1" applyFill="1" applyBorder="1" applyProtection="1">
      <protection locked="0"/>
    </xf>
    <xf numFmtId="170" fontId="42" fillId="0" borderId="0" xfId="0" applyNumberFormat="1" applyFont="1" applyFill="1" applyBorder="1" applyProtection="1">
      <protection locked="0"/>
    </xf>
    <xf numFmtId="0" fontId="42" fillId="0" borderId="0" xfId="0" applyFont="1" applyBorder="1" applyProtection="1">
      <protection locked="0"/>
    </xf>
    <xf numFmtId="170" fontId="42" fillId="0" borderId="0" xfId="0" applyNumberFormat="1" applyFont="1" applyBorder="1" applyProtection="1">
      <protection locked="0"/>
    </xf>
    <xf numFmtId="0" fontId="43" fillId="0" borderId="0" xfId="0" applyFont="1" applyBorder="1" applyAlignment="1" applyProtection="1">
      <alignment horizontal="right"/>
      <protection locked="0"/>
    </xf>
    <xf numFmtId="169" fontId="41" fillId="0" borderId="62" xfId="0" applyNumberFormat="1" applyFont="1" applyBorder="1"/>
    <xf numFmtId="0" fontId="41" fillId="0" borderId="0" xfId="0" applyFont="1" applyFill="1"/>
    <xf numFmtId="0" fontId="41" fillId="0" borderId="56" xfId="0" applyFont="1" applyBorder="1" applyAlignment="1">
      <alignment horizontal="left" indent="1"/>
    </xf>
    <xf numFmtId="169" fontId="41" fillId="40" borderId="61" xfId="0" applyNumberFormat="1" applyFont="1" applyFill="1" applyBorder="1" applyProtection="1">
      <protection locked="0"/>
    </xf>
    <xf numFmtId="169" fontId="41" fillId="40" borderId="60" xfId="0" applyNumberFormat="1" applyFont="1" applyFill="1" applyBorder="1" applyProtection="1">
      <protection locked="0"/>
    </xf>
    <xf numFmtId="169" fontId="42" fillId="0" borderId="79" xfId="0" applyNumberFormat="1" applyFont="1" applyBorder="1" applyAlignment="1">
      <alignment vertical="top"/>
    </xf>
    <xf numFmtId="169" fontId="41" fillId="0" borderId="60" xfId="0" applyNumberFormat="1" applyFont="1" applyBorder="1"/>
    <xf numFmtId="0" fontId="42" fillId="0" borderId="57" xfId="0" applyFont="1" applyBorder="1" applyAlignment="1">
      <alignment horizontal="center"/>
    </xf>
    <xf numFmtId="0" fontId="43" fillId="0" borderId="0" xfId="0" applyFont="1" applyBorder="1" applyAlignment="1">
      <alignment horizontal="center"/>
    </xf>
    <xf numFmtId="0" fontId="43" fillId="0" borderId="0" xfId="0" applyFont="1" applyBorder="1"/>
    <xf numFmtId="0" fontId="43" fillId="0" borderId="56" xfId="0" applyFont="1" applyBorder="1" applyAlignment="1">
      <alignment horizontal="right"/>
    </xf>
    <xf numFmtId="0" fontId="42" fillId="0" borderId="72" xfId="0" applyFont="1" applyBorder="1" applyAlignment="1" applyProtection="1">
      <alignment horizontal="center"/>
    </xf>
    <xf numFmtId="169" fontId="41" fillId="40" borderId="0" xfId="0" applyNumberFormat="1" applyFont="1" applyFill="1" applyBorder="1" applyAlignment="1" applyProtection="1">
      <alignment horizontal="right"/>
      <protection locked="0"/>
    </xf>
    <xf numFmtId="169" fontId="41" fillId="40" borderId="56" xfId="0" applyNumberFormat="1" applyFont="1" applyFill="1" applyBorder="1" applyAlignment="1" applyProtection="1">
      <alignment horizontal="right"/>
      <protection locked="0"/>
    </xf>
    <xf numFmtId="169" fontId="41" fillId="0" borderId="67" xfId="0" applyNumberFormat="1" applyFont="1" applyBorder="1"/>
    <xf numFmtId="169" fontId="41" fillId="42" borderId="86" xfId="0" applyNumberFormat="1" applyFont="1" applyFill="1" applyBorder="1" applyProtection="1">
      <protection locked="0"/>
    </xf>
    <xf numFmtId="169" fontId="42" fillId="0" borderId="74" xfId="0" applyNumberFormat="1" applyFont="1" applyBorder="1"/>
    <xf numFmtId="0" fontId="41" fillId="0" borderId="0" xfId="0" applyFont="1" applyBorder="1"/>
    <xf numFmtId="0" fontId="43" fillId="0" borderId="0" xfId="0" applyFont="1" applyAlignment="1">
      <alignment horizontal="right"/>
    </xf>
    <xf numFmtId="169" fontId="42" fillId="0" borderId="58" xfId="0" applyNumberFormat="1" applyFont="1" applyFill="1" applyBorder="1"/>
    <xf numFmtId="0" fontId="31" fillId="36" borderId="87" xfId="0" applyFont="1" applyFill="1" applyBorder="1" applyAlignment="1">
      <alignment horizontal="center" vertical="center"/>
    </xf>
    <xf numFmtId="0" fontId="32" fillId="37" borderId="87" xfId="0" applyFont="1" applyFill="1" applyBorder="1" applyAlignment="1">
      <alignment wrapText="1"/>
    </xf>
    <xf numFmtId="0" fontId="32" fillId="37" borderId="87" xfId="0" applyFont="1" applyFill="1" applyBorder="1" applyAlignment="1">
      <alignment horizontal="left" wrapText="1"/>
    </xf>
    <xf numFmtId="0" fontId="32" fillId="37" borderId="87" xfId="0" applyFont="1" applyFill="1" applyBorder="1" applyAlignment="1">
      <alignment vertical="top" wrapText="1"/>
    </xf>
    <xf numFmtId="0" fontId="32" fillId="37" borderId="87" xfId="0" applyFont="1" applyFill="1" applyBorder="1" applyAlignment="1">
      <alignment horizontal="right"/>
    </xf>
    <xf numFmtId="0" fontId="0" fillId="37" borderId="87" xfId="0" applyFill="1" applyBorder="1" applyAlignment="1">
      <alignment horizontal="left"/>
    </xf>
    <xf numFmtId="0" fontId="0" fillId="0" borderId="0" xfId="0"/>
    <xf numFmtId="0" fontId="0" fillId="0" borderId="0" xfId="0"/>
    <xf numFmtId="9" fontId="30" fillId="34" borderId="31" xfId="0" applyNumberFormat="1" applyFont="1" applyFill="1" applyBorder="1" applyAlignment="1">
      <alignment horizontal="center" vertical="top" wrapText="1"/>
    </xf>
    <xf numFmtId="0" fontId="25" fillId="34" borderId="17" xfId="0" applyFont="1" applyFill="1" applyBorder="1" applyAlignment="1">
      <alignment horizontal="center" vertical="top" wrapText="1"/>
    </xf>
    <xf numFmtId="15" fontId="25" fillId="34" borderId="17" xfId="0" applyNumberFormat="1" applyFont="1" applyFill="1" applyBorder="1" applyAlignment="1">
      <alignment horizontal="center" vertical="top" wrapText="1"/>
    </xf>
    <xf numFmtId="169" fontId="41" fillId="0" borderId="61" xfId="0" applyNumberFormat="1" applyFont="1" applyFill="1" applyBorder="1"/>
    <xf numFmtId="170" fontId="42" fillId="0" borderId="0" xfId="0" applyNumberFormat="1" applyFont="1" applyBorder="1"/>
    <xf numFmtId="170" fontId="41" fillId="0" borderId="0" xfId="0" applyNumberFormat="1" applyFont="1" applyBorder="1"/>
    <xf numFmtId="0" fontId="43" fillId="0" borderId="0" xfId="0" applyFont="1" applyBorder="1" applyAlignment="1" applyProtection="1">
      <alignment horizontal="left"/>
    </xf>
    <xf numFmtId="0" fontId="44" fillId="0" borderId="56" xfId="0" applyFont="1" applyBorder="1"/>
    <xf numFmtId="169" fontId="41" fillId="0" borderId="62" xfId="0" applyNumberFormat="1" applyFont="1" applyFill="1" applyBorder="1" applyProtection="1"/>
    <xf numFmtId="169" fontId="41" fillId="0" borderId="61" xfId="0" applyNumberFormat="1" applyFont="1" applyFill="1" applyBorder="1" applyProtection="1"/>
    <xf numFmtId="169" fontId="41" fillId="40" borderId="60" xfId="49" applyNumberFormat="1" applyFont="1" applyFill="1" applyBorder="1" applyProtection="1">
      <protection locked="0"/>
    </xf>
    <xf numFmtId="0" fontId="41" fillId="0" borderId="56" xfId="0" applyNumberFormat="1" applyFont="1" applyBorder="1" applyAlignment="1">
      <alignment horizontal="left" indent="1"/>
    </xf>
    <xf numFmtId="169" fontId="41" fillId="0" borderId="61" xfId="0" applyNumberFormat="1" applyFont="1" applyBorder="1" applyProtection="1"/>
    <xf numFmtId="0" fontId="42" fillId="0" borderId="56" xfId="0" applyFont="1" applyBorder="1"/>
    <xf numFmtId="0" fontId="41" fillId="0" borderId="56" xfId="0" applyNumberFormat="1" applyFont="1" applyBorder="1" applyAlignment="1">
      <alignment horizontal="left" wrapText="1" indent="1"/>
    </xf>
    <xf numFmtId="0" fontId="42" fillId="0" borderId="73" xfId="0" applyFont="1" applyBorder="1"/>
    <xf numFmtId="169" fontId="41" fillId="0" borderId="62" xfId="0" applyNumberFormat="1" applyFont="1" applyBorder="1" applyProtection="1"/>
    <xf numFmtId="0" fontId="37" fillId="39" borderId="47" xfId="0" applyFont="1" applyFill="1" applyBorder="1" applyAlignment="1">
      <alignment horizontal="left" vertical="top"/>
    </xf>
    <xf numFmtId="0" fontId="37" fillId="40" borderId="47" xfId="0" applyFont="1" applyFill="1" applyBorder="1" applyAlignment="1">
      <alignment vertical="top" wrapText="1"/>
    </xf>
    <xf numFmtId="0" fontId="37" fillId="40" borderId="47" xfId="0" applyFont="1" applyFill="1" applyBorder="1" applyAlignment="1">
      <alignment horizontal="justify" vertical="top" wrapText="1"/>
    </xf>
    <xf numFmtId="0" fontId="0" fillId="0" borderId="0" xfId="0"/>
    <xf numFmtId="0" fontId="25" fillId="34" borderId="88" xfId="0" applyFont="1" applyFill="1" applyBorder="1" applyAlignment="1">
      <alignment vertical="top" wrapText="1"/>
    </xf>
    <xf numFmtId="0" fontId="20" fillId="34" borderId="88" xfId="0" applyFont="1" applyFill="1" applyBorder="1" applyAlignment="1">
      <alignment vertical="top" wrapText="1"/>
    </xf>
    <xf numFmtId="0" fontId="26" fillId="34" borderId="88" xfId="0" applyFont="1" applyFill="1" applyBorder="1" applyAlignment="1">
      <alignment vertical="top"/>
    </xf>
    <xf numFmtId="3" fontId="26" fillId="34" borderId="88" xfId="0" applyNumberFormat="1" applyFont="1" applyFill="1" applyBorder="1" applyAlignment="1">
      <alignment vertical="top"/>
    </xf>
    <xf numFmtId="3" fontId="27" fillId="34" borderId="88" xfId="1" applyNumberFormat="1" applyFont="1" applyFill="1" applyBorder="1" applyAlignment="1">
      <alignment vertical="top"/>
    </xf>
    <xf numFmtId="0" fontId="33" fillId="34" borderId="88" xfId="0" applyFont="1" applyFill="1" applyBorder="1" applyAlignment="1">
      <alignment vertical="top" wrapText="1"/>
    </xf>
    <xf numFmtId="0" fontId="23" fillId="34" borderId="89" xfId="0" applyFont="1" applyFill="1" applyBorder="1" applyAlignment="1">
      <alignment vertical="top" wrapText="1"/>
    </xf>
    <xf numFmtId="0" fontId="24" fillId="34" borderId="88" xfId="0" applyFont="1" applyFill="1" applyBorder="1" applyAlignment="1">
      <alignment vertical="top" wrapText="1"/>
    </xf>
    <xf numFmtId="3" fontId="27" fillId="34" borderId="88" xfId="1" applyNumberFormat="1" applyFont="1" applyFill="1" applyBorder="1" applyAlignment="1">
      <alignment horizontal="center" vertical="top"/>
    </xf>
    <xf numFmtId="0" fontId="25" fillId="34" borderId="0" xfId="0" applyFont="1" applyFill="1" applyAlignment="1">
      <alignment vertical="top"/>
    </xf>
    <xf numFmtId="0" fontId="25" fillId="34" borderId="88" xfId="0" applyFont="1" applyFill="1" applyBorder="1" applyAlignment="1">
      <alignment horizontal="left" vertical="top"/>
    </xf>
    <xf numFmtId="0" fontId="25" fillId="34" borderId="88" xfId="0" applyFont="1" applyFill="1" applyBorder="1" applyAlignment="1">
      <alignment horizontal="left" vertical="top" wrapText="1"/>
    </xf>
    <xf numFmtId="0" fontId="26" fillId="34" borderId="88" xfId="0" applyFont="1" applyFill="1" applyBorder="1" applyAlignment="1">
      <alignment horizontal="left" vertical="top"/>
    </xf>
    <xf numFmtId="0" fontId="25" fillId="34" borderId="0" xfId="0" applyFont="1" applyFill="1" applyAlignment="1">
      <alignment wrapText="1"/>
    </xf>
    <xf numFmtId="0" fontId="25" fillId="34" borderId="0" xfId="0" applyFont="1" applyFill="1" applyAlignment="1">
      <alignment horizontal="left" vertical="top"/>
    </xf>
    <xf numFmtId="0" fontId="49" fillId="41" borderId="31" xfId="0" applyFont="1" applyFill="1" applyBorder="1" applyAlignment="1">
      <alignment horizontal="center" vertical="top" wrapText="1"/>
    </xf>
    <xf numFmtId="0" fontId="49" fillId="41" borderId="31" xfId="0" applyFont="1" applyFill="1" applyBorder="1" applyAlignment="1">
      <alignment vertical="top" wrapText="1"/>
    </xf>
    <xf numFmtId="0" fontId="51" fillId="34" borderId="17" xfId="0" applyFont="1" applyFill="1" applyBorder="1" applyAlignment="1">
      <alignment horizontal="center" vertical="top" wrapText="1"/>
    </xf>
    <xf numFmtId="0" fontId="51" fillId="0" borderId="17" xfId="0" applyFont="1" applyBorder="1" applyAlignment="1">
      <alignment vertical="top" wrapText="1"/>
    </xf>
    <xf numFmtId="0" fontId="51" fillId="0" borderId="43" xfId="0" applyFont="1" applyBorder="1" applyAlignment="1">
      <alignment vertical="top" wrapText="1"/>
    </xf>
    <xf numFmtId="9" fontId="51" fillId="0" borderId="17" xfId="0" applyNumberFormat="1" applyFont="1" applyBorder="1" applyAlignment="1">
      <alignment horizontal="center" vertical="top" wrapText="1"/>
    </xf>
    <xf numFmtId="9" fontId="51" fillId="0" borderId="17" xfId="0" applyNumberFormat="1" applyFont="1" applyBorder="1" applyAlignment="1">
      <alignment vertical="top" wrapText="1"/>
    </xf>
    <xf numFmtId="0" fontId="51" fillId="34" borderId="17" xfId="0" applyFont="1" applyFill="1" applyBorder="1" applyAlignment="1">
      <alignment vertical="top" wrapText="1"/>
    </xf>
    <xf numFmtId="0" fontId="33" fillId="34" borderId="17" xfId="0" applyFont="1" applyFill="1" applyBorder="1" applyAlignment="1">
      <alignment vertical="top" wrapText="1"/>
    </xf>
    <xf numFmtId="3" fontId="33" fillId="34" borderId="17" xfId="0" applyNumberFormat="1" applyFont="1" applyFill="1" applyBorder="1" applyAlignment="1">
      <alignment horizontal="center" vertical="top" wrapText="1"/>
    </xf>
    <xf numFmtId="0" fontId="33" fillId="0" borderId="31" xfId="0" applyFont="1" applyBorder="1" applyAlignment="1">
      <alignment vertical="top" wrapText="1"/>
    </xf>
    <xf numFmtId="0" fontId="32" fillId="37" borderId="96" xfId="0" applyFont="1" applyFill="1" applyBorder="1" applyAlignment="1">
      <alignment wrapText="1"/>
    </xf>
    <xf numFmtId="0" fontId="32" fillId="37" borderId="96" xfId="0" applyFont="1" applyFill="1" applyBorder="1" applyAlignment="1">
      <alignment horizontal="left" wrapText="1"/>
    </xf>
    <xf numFmtId="49" fontId="32" fillId="37" borderId="87" xfId="0" applyNumberFormat="1" applyFont="1" applyFill="1" applyBorder="1" applyAlignment="1">
      <alignment horizontal="left" wrapText="1"/>
    </xf>
    <xf numFmtId="0" fontId="32" fillId="37" borderId="96" xfId="0" applyFont="1" applyFill="1" applyBorder="1" applyAlignment="1">
      <alignment vertical="top" wrapText="1"/>
    </xf>
    <xf numFmtId="0" fontId="40" fillId="0" borderId="97" xfId="0" applyFont="1" applyFill="1" applyBorder="1" applyAlignment="1">
      <alignment horizontal="left"/>
    </xf>
    <xf numFmtId="49" fontId="42" fillId="0" borderId="72" xfId="0" applyNumberFormat="1" applyFont="1" applyFill="1" applyBorder="1" applyAlignment="1">
      <alignment horizontal="center" vertical="center" wrapText="1"/>
    </xf>
    <xf numFmtId="49" fontId="42" fillId="0" borderId="71" xfId="0" applyNumberFormat="1" applyFont="1" applyFill="1" applyBorder="1" applyAlignment="1">
      <alignment vertical="center" wrapText="1"/>
    </xf>
    <xf numFmtId="0" fontId="42" fillId="0" borderId="63" xfId="0" applyFont="1" applyFill="1" applyBorder="1" applyAlignment="1">
      <alignment horizontal="center" vertical="center" wrapText="1"/>
    </xf>
    <xf numFmtId="0" fontId="42" fillId="0" borderId="75" xfId="0" applyFont="1" applyFill="1" applyBorder="1" applyAlignment="1">
      <alignment horizontal="center" vertical="center" wrapText="1"/>
    </xf>
    <xf numFmtId="0" fontId="42" fillId="0" borderId="99" xfId="0" applyFont="1" applyFill="1" applyBorder="1" applyAlignment="1">
      <alignment horizontal="center" vertical="center" wrapText="1"/>
    </xf>
    <xf numFmtId="0" fontId="42" fillId="0" borderId="64" xfId="0" applyFont="1" applyFill="1" applyBorder="1" applyAlignment="1">
      <alignment horizontal="center" vertical="center" wrapText="1"/>
    </xf>
    <xf numFmtId="0" fontId="44" fillId="0" borderId="56" xfId="0" applyNumberFormat="1" applyFont="1" applyBorder="1"/>
    <xf numFmtId="169" fontId="42" fillId="0" borderId="56" xfId="0" applyNumberFormat="1" applyFont="1" applyBorder="1" applyAlignment="1">
      <alignment horizontal="center"/>
    </xf>
    <xf numFmtId="169" fontId="42" fillId="0" borderId="61" xfId="0" applyNumberFormat="1" applyFont="1" applyBorder="1" applyAlignment="1">
      <alignment horizontal="center"/>
    </xf>
    <xf numFmtId="169" fontId="42" fillId="0" borderId="62" xfId="0" applyNumberFormat="1" applyFont="1" applyBorder="1" applyAlignment="1">
      <alignment horizontal="center"/>
    </xf>
    <xf numFmtId="169" fontId="42" fillId="0" borderId="67" xfId="0" applyNumberFormat="1" applyFont="1" applyBorder="1" applyAlignment="1">
      <alignment horizontal="center"/>
    </xf>
    <xf numFmtId="169" fontId="42" fillId="0" borderId="100" xfId="0" applyNumberFormat="1" applyFont="1" applyBorder="1" applyAlignment="1">
      <alignment horizontal="center"/>
    </xf>
    <xf numFmtId="169" fontId="41" fillId="40" borderId="56" xfId="0" applyNumberFormat="1" applyFont="1" applyFill="1" applyBorder="1" applyProtection="1">
      <protection locked="0"/>
    </xf>
    <xf numFmtId="169" fontId="41" fillId="0" borderId="100" xfId="0" applyNumberFormat="1" applyFont="1" applyBorder="1"/>
    <xf numFmtId="169" fontId="41" fillId="0" borderId="100" xfId="0" applyNumberFormat="1" applyFont="1" applyFill="1" applyBorder="1"/>
    <xf numFmtId="0" fontId="42" fillId="0" borderId="56" xfId="0" applyNumberFormat="1" applyFont="1" applyBorder="1"/>
    <xf numFmtId="169" fontId="42" fillId="0" borderId="85" xfId="0" applyNumberFormat="1" applyFont="1" applyBorder="1"/>
    <xf numFmtId="169" fontId="42" fillId="0" borderId="101" xfId="0" applyNumberFormat="1" applyFont="1" applyBorder="1"/>
    <xf numFmtId="0" fontId="41" fillId="0" borderId="56" xfId="0" applyNumberFormat="1" applyFont="1" applyBorder="1"/>
    <xf numFmtId="169" fontId="41" fillId="0" borderId="56" xfId="0" applyNumberFormat="1" applyFont="1" applyBorder="1"/>
    <xf numFmtId="169" fontId="41" fillId="40" borderId="56" xfId="49" applyNumberFormat="1" applyFont="1" applyFill="1" applyBorder="1" applyProtection="1">
      <protection locked="0"/>
    </xf>
    <xf numFmtId="0" fontId="42" fillId="0" borderId="73" xfId="0" applyNumberFormat="1" applyFont="1" applyBorder="1" applyAlignment="1">
      <alignment vertical="center" wrapText="1"/>
    </xf>
    <xf numFmtId="169" fontId="42" fillId="0" borderId="73" xfId="0" applyNumberFormat="1" applyFont="1" applyFill="1" applyBorder="1"/>
    <xf numFmtId="169" fontId="42" fillId="0" borderId="75" xfId="0" applyNumberFormat="1" applyFont="1" applyFill="1" applyBorder="1"/>
    <xf numFmtId="169" fontId="42" fillId="0" borderId="76" xfId="0" applyNumberFormat="1" applyFont="1" applyFill="1" applyBorder="1"/>
    <xf numFmtId="169" fontId="42" fillId="0" borderId="74" xfId="0" applyNumberFormat="1" applyFont="1" applyFill="1" applyBorder="1"/>
    <xf numFmtId="169" fontId="42" fillId="0" borderId="102" xfId="0" applyNumberFormat="1" applyFont="1" applyFill="1" applyBorder="1"/>
    <xf numFmtId="0" fontId="45" fillId="0" borderId="0" xfId="0" applyNumberFormat="1" applyFont="1" applyBorder="1" applyAlignment="1" applyProtection="1">
      <alignment vertical="center" wrapText="1"/>
    </xf>
    <xf numFmtId="0" fontId="41" fillId="0" borderId="0" xfId="0" applyFont="1" applyProtection="1">
      <protection locked="0"/>
    </xf>
    <xf numFmtId="171" fontId="43" fillId="0" borderId="0" xfId="49" applyNumberFormat="1" applyFont="1"/>
    <xf numFmtId="0" fontId="40" fillId="0" borderId="97" xfId="0" applyFont="1" applyFill="1" applyBorder="1" applyAlignment="1" applyProtection="1">
      <alignment horizontal="left"/>
    </xf>
    <xf numFmtId="0" fontId="52" fillId="0" borderId="0" xfId="0" applyFont="1"/>
    <xf numFmtId="0" fontId="42" fillId="0" borderId="72" xfId="0" applyFont="1" applyFill="1" applyBorder="1" applyAlignment="1" applyProtection="1">
      <alignment horizontal="center" vertical="center"/>
    </xf>
    <xf numFmtId="0" fontId="42" fillId="0" borderId="68" xfId="0" applyFont="1" applyFill="1" applyBorder="1" applyAlignment="1" applyProtection="1">
      <alignment vertical="center"/>
    </xf>
    <xf numFmtId="0" fontId="42" fillId="0" borderId="77" xfId="0" applyFont="1" applyFill="1" applyBorder="1" applyAlignment="1" applyProtection="1">
      <alignment horizontal="center" vertical="center" wrapText="1"/>
    </xf>
    <xf numFmtId="0" fontId="42" fillId="0" borderId="98" xfId="0" applyFont="1" applyFill="1" applyBorder="1" applyAlignment="1" applyProtection="1">
      <alignment horizontal="center" vertical="center" wrapText="1"/>
    </xf>
    <xf numFmtId="0" fontId="42" fillId="0" borderId="63" xfId="0" applyFont="1" applyFill="1" applyBorder="1" applyAlignment="1" applyProtection="1">
      <alignment horizontal="left" vertical="center"/>
    </xf>
    <xf numFmtId="0" fontId="42" fillId="0" borderId="64" xfId="0" applyFont="1" applyFill="1" applyBorder="1" applyAlignment="1" applyProtection="1">
      <alignment vertical="center"/>
    </xf>
    <xf numFmtId="0" fontId="42" fillId="0" borderId="64" xfId="0" applyFont="1" applyFill="1" applyBorder="1" applyAlignment="1" applyProtection="1">
      <alignment horizontal="center" vertical="center" wrapText="1"/>
    </xf>
    <xf numFmtId="0" fontId="42" fillId="0" borderId="99" xfId="0" applyFont="1" applyFill="1" applyBorder="1" applyAlignment="1" applyProtection="1">
      <alignment horizontal="center" vertical="center" wrapText="1"/>
    </xf>
    <xf numFmtId="0" fontId="42" fillId="0" borderId="63" xfId="0" applyFont="1" applyFill="1" applyBorder="1" applyAlignment="1" applyProtection="1">
      <alignment horizontal="center" vertical="center" wrapText="1"/>
    </xf>
    <xf numFmtId="0" fontId="42" fillId="43" borderId="105" xfId="0" applyFont="1" applyFill="1" applyBorder="1" applyAlignment="1">
      <alignment horizontal="center" vertical="top" wrapText="1"/>
    </xf>
    <xf numFmtId="0" fontId="42" fillId="43" borderId="53" xfId="0" applyFont="1" applyFill="1" applyBorder="1" applyAlignment="1">
      <alignment horizontal="center" vertical="top" wrapText="1"/>
    </xf>
    <xf numFmtId="0" fontId="44" fillId="0" borderId="56" xfId="0" applyFont="1" applyBorder="1" applyProtection="1"/>
    <xf numFmtId="0" fontId="41" fillId="0" borderId="61" xfId="0" applyNumberFormat="1" applyFont="1" applyBorder="1" applyAlignment="1" applyProtection="1">
      <alignment horizontal="center"/>
    </xf>
    <xf numFmtId="0" fontId="42" fillId="0" borderId="105" xfId="0" applyFont="1" applyBorder="1" applyAlignment="1" applyProtection="1">
      <alignment horizontal="center"/>
    </xf>
    <xf numFmtId="0" fontId="42" fillId="0" borderId="52" xfId="0" applyFont="1" applyBorder="1" applyAlignment="1" applyProtection="1">
      <alignment horizontal="center"/>
    </xf>
    <xf numFmtId="0" fontId="42" fillId="0" borderId="92" xfId="0" applyFont="1" applyBorder="1" applyAlignment="1" applyProtection="1">
      <alignment horizontal="center"/>
    </xf>
    <xf numFmtId="0" fontId="42" fillId="0" borderId="100" xfId="0" applyFont="1" applyBorder="1" applyAlignment="1">
      <alignment horizontal="center"/>
    </xf>
    <xf numFmtId="0" fontId="42" fillId="0" borderId="56" xfId="0" applyFont="1" applyFill="1" applyBorder="1" applyAlignment="1" applyProtection="1">
      <alignment horizontal="left" indent="1"/>
    </xf>
    <xf numFmtId="0" fontId="42" fillId="0" borderId="61" xfId="0" applyNumberFormat="1" applyFont="1" applyBorder="1" applyAlignment="1" applyProtection="1">
      <alignment horizontal="center"/>
      <protection locked="0"/>
    </xf>
    <xf numFmtId="169" fontId="42" fillId="0" borderId="100" xfId="0" applyNumberFormat="1" applyFont="1" applyBorder="1" applyAlignment="1">
      <alignment horizontal="right"/>
    </xf>
    <xf numFmtId="169" fontId="42" fillId="0" borderId="56" xfId="0" applyNumberFormat="1" applyFont="1" applyBorder="1" applyAlignment="1">
      <alignment horizontal="right"/>
    </xf>
    <xf numFmtId="169" fontId="42" fillId="0" borderId="0" xfId="0" applyNumberFormat="1" applyFont="1" applyBorder="1" applyAlignment="1">
      <alignment horizontal="right"/>
    </xf>
    <xf numFmtId="0" fontId="41" fillId="0" borderId="56" xfId="0" applyFont="1" applyFill="1" applyBorder="1" applyAlignment="1" applyProtection="1">
      <alignment horizontal="left" indent="1"/>
    </xf>
    <xf numFmtId="0" fontId="41" fillId="0" borderId="61" xfId="0" applyNumberFormat="1" applyFont="1" applyBorder="1" applyAlignment="1" applyProtection="1">
      <alignment horizontal="center"/>
      <protection locked="0"/>
    </xf>
    <xf numFmtId="169" fontId="41" fillId="40" borderId="61" xfId="0" applyNumberFormat="1" applyFont="1" applyFill="1" applyBorder="1" applyAlignment="1" applyProtection="1">
      <alignment horizontal="right"/>
      <protection locked="0"/>
    </xf>
    <xf numFmtId="169" fontId="41" fillId="40" borderId="100" xfId="0" applyNumberFormat="1" applyFont="1" applyFill="1" applyBorder="1" applyAlignment="1" applyProtection="1">
      <alignment horizontal="right"/>
      <protection locked="0"/>
    </xf>
    <xf numFmtId="169" fontId="41" fillId="40" borderId="67" xfId="0" applyNumberFormat="1" applyFont="1" applyFill="1" applyBorder="1" applyAlignment="1" applyProtection="1">
      <alignment horizontal="right"/>
      <protection locked="0"/>
    </xf>
    <xf numFmtId="169" fontId="41" fillId="40" borderId="62" xfId="0" applyNumberFormat="1" applyFont="1" applyFill="1" applyBorder="1" applyProtection="1">
      <protection locked="0"/>
    </xf>
    <xf numFmtId="169" fontId="41" fillId="40" borderId="62" xfId="0" applyNumberFormat="1" applyFont="1" applyFill="1" applyBorder="1" applyAlignment="1" applyProtection="1">
      <alignment horizontal="right"/>
      <protection locked="0"/>
    </xf>
    <xf numFmtId="170" fontId="41" fillId="0" borderId="100" xfId="0" applyNumberFormat="1" applyFont="1" applyBorder="1"/>
    <xf numFmtId="170" fontId="41" fillId="0" borderId="57" xfId="0" applyNumberFormat="1" applyFont="1" applyBorder="1"/>
    <xf numFmtId="0" fontId="42" fillId="0" borderId="67" xfId="0" applyFont="1" applyFill="1" applyBorder="1" applyAlignment="1" applyProtection="1">
      <alignment horizontal="left" indent="1"/>
    </xf>
    <xf numFmtId="0" fontId="42" fillId="0" borderId="56" xfId="0" applyFont="1" applyBorder="1" applyAlignment="1" applyProtection="1">
      <alignment horizontal="left"/>
    </xf>
    <xf numFmtId="169" fontId="42" fillId="0" borderId="101" xfId="0" applyNumberFormat="1" applyFont="1" applyBorder="1" applyAlignment="1" applyProtection="1">
      <alignment horizontal="right"/>
    </xf>
    <xf numFmtId="169" fontId="42" fillId="0" borderId="85" xfId="0" applyNumberFormat="1" applyFont="1" applyBorder="1" applyAlignment="1" applyProtection="1">
      <alignment horizontal="right"/>
    </xf>
    <xf numFmtId="169" fontId="42" fillId="0" borderId="106" xfId="0" applyNumberFormat="1" applyFont="1" applyBorder="1" applyAlignment="1" applyProtection="1">
      <alignment horizontal="right"/>
    </xf>
    <xf numFmtId="170" fontId="42" fillId="0" borderId="104" xfId="0" applyNumberFormat="1" applyFont="1" applyBorder="1"/>
    <xf numFmtId="170" fontId="42" fillId="0" borderId="13" xfId="0" applyNumberFormat="1" applyFont="1" applyBorder="1"/>
    <xf numFmtId="0" fontId="41" fillId="0" borderId="63" xfId="0" applyFont="1" applyBorder="1" applyProtection="1"/>
    <xf numFmtId="0" fontId="41" fillId="0" borderId="64" xfId="0" applyNumberFormat="1" applyFont="1" applyBorder="1" applyAlignment="1" applyProtection="1">
      <alignment horizontal="center"/>
    </xf>
    <xf numFmtId="169" fontId="41" fillId="0" borderId="99" xfId="0" applyNumberFormat="1" applyFont="1" applyBorder="1" applyProtection="1"/>
    <xf numFmtId="169" fontId="41" fillId="0" borderId="63" xfId="0" applyNumberFormat="1" applyFont="1" applyBorder="1" applyProtection="1"/>
    <xf numFmtId="169" fontId="41" fillId="0" borderId="97" xfId="0" applyNumberFormat="1" applyFont="1" applyBorder="1" applyProtection="1"/>
    <xf numFmtId="0" fontId="44" fillId="0" borderId="52" xfId="0" applyFont="1" applyBorder="1" applyProtection="1"/>
    <xf numFmtId="0" fontId="41" fillId="0" borderId="68" xfId="0" applyNumberFormat="1" applyFont="1" applyBorder="1" applyAlignment="1" applyProtection="1">
      <alignment horizontal="center"/>
    </xf>
    <xf numFmtId="169" fontId="41" fillId="0" borderId="68" xfId="0" applyNumberFormat="1" applyFont="1" applyBorder="1" applyProtection="1"/>
    <xf numFmtId="169" fontId="41" fillId="0" borderId="105" xfId="0" applyNumberFormat="1" applyFont="1" applyBorder="1" applyProtection="1"/>
    <xf numFmtId="169" fontId="41" fillId="0" borderId="52" xfId="0" applyNumberFormat="1" applyFont="1" applyBorder="1" applyProtection="1"/>
    <xf numFmtId="169" fontId="41" fillId="0" borderId="92" xfId="0" applyNumberFormat="1" applyFont="1" applyBorder="1" applyProtection="1"/>
    <xf numFmtId="169" fontId="41" fillId="0" borderId="72" xfId="0" applyNumberFormat="1" applyFont="1" applyBorder="1" applyProtection="1"/>
    <xf numFmtId="0" fontId="42" fillId="0" borderId="61" xfId="0" applyNumberFormat="1" applyFont="1" applyBorder="1" applyAlignment="1" applyProtection="1">
      <alignment horizontal="center"/>
    </xf>
    <xf numFmtId="169" fontId="42" fillId="0" borderId="100" xfId="0" applyNumberFormat="1" applyFont="1" applyBorder="1" applyAlignment="1" applyProtection="1">
      <alignment horizontal="right"/>
    </xf>
    <xf numFmtId="169" fontId="42" fillId="0" borderId="56" xfId="0" applyNumberFormat="1" applyFont="1" applyBorder="1" applyAlignment="1" applyProtection="1">
      <alignment horizontal="right"/>
    </xf>
    <xf numFmtId="169" fontId="42" fillId="0" borderId="0" xfId="0" applyNumberFormat="1" applyFont="1" applyBorder="1" applyAlignment="1" applyProtection="1">
      <alignment horizontal="right"/>
    </xf>
    <xf numFmtId="169" fontId="41" fillId="40" borderId="100" xfId="0" applyNumberFormat="1" applyFont="1" applyFill="1" applyBorder="1" applyProtection="1">
      <protection locked="0"/>
    </xf>
    <xf numFmtId="169" fontId="41" fillId="40" borderId="0" xfId="0" applyNumberFormat="1" applyFont="1" applyFill="1" applyBorder="1" applyProtection="1">
      <protection locked="0"/>
    </xf>
    <xf numFmtId="170" fontId="41" fillId="0" borderId="100" xfId="0" applyNumberFormat="1" applyFont="1" applyFill="1" applyBorder="1"/>
    <xf numFmtId="170" fontId="41" fillId="0" borderId="57" xfId="0" applyNumberFormat="1" applyFont="1" applyFill="1" applyBorder="1"/>
    <xf numFmtId="169" fontId="41" fillId="42" borderId="100" xfId="0" applyNumberFormat="1" applyFont="1" applyFill="1" applyBorder="1" applyProtection="1">
      <protection locked="0"/>
    </xf>
    <xf numFmtId="169" fontId="41" fillId="42" borderId="56" xfId="0" applyNumberFormat="1" applyFont="1" applyFill="1" applyBorder="1" applyProtection="1">
      <protection locked="0"/>
    </xf>
    <xf numFmtId="169" fontId="41" fillId="42" borderId="0" xfId="0" applyNumberFormat="1" applyFont="1" applyFill="1" applyBorder="1" applyProtection="1">
      <protection locked="0"/>
    </xf>
    <xf numFmtId="169" fontId="42" fillId="0" borderId="106" xfId="0" applyNumberFormat="1" applyFont="1" applyBorder="1"/>
    <xf numFmtId="169" fontId="42" fillId="0" borderId="100" xfId="0" applyNumberFormat="1" applyFont="1" applyBorder="1"/>
    <xf numFmtId="169" fontId="42" fillId="0" borderId="56" xfId="0" applyNumberFormat="1" applyFont="1" applyBorder="1"/>
    <xf numFmtId="169" fontId="42" fillId="0" borderId="0" xfId="0" applyNumberFormat="1" applyFont="1" applyBorder="1"/>
    <xf numFmtId="169" fontId="42" fillId="0" borderId="67" xfId="0" applyNumberFormat="1" applyFont="1" applyBorder="1"/>
    <xf numFmtId="170" fontId="42" fillId="0" borderId="100" xfId="0" applyNumberFormat="1" applyFont="1" applyBorder="1"/>
    <xf numFmtId="170" fontId="42" fillId="0" borderId="57" xfId="0" applyNumberFormat="1" applyFont="1" applyBorder="1"/>
    <xf numFmtId="0" fontId="41" fillId="0" borderId="75" xfId="0" applyNumberFormat="1" applyFont="1" applyBorder="1" applyAlignment="1" applyProtection="1">
      <alignment horizontal="center"/>
      <protection locked="0"/>
    </xf>
    <xf numFmtId="169" fontId="42" fillId="0" borderId="102" xfId="0" applyNumberFormat="1" applyFont="1" applyBorder="1"/>
    <xf numFmtId="169" fontId="42" fillId="0" borderId="73" xfId="0" applyNumberFormat="1" applyFont="1" applyBorder="1"/>
    <xf numFmtId="169" fontId="42" fillId="0" borderId="107" xfId="0" applyNumberFormat="1" applyFont="1" applyBorder="1"/>
    <xf numFmtId="170" fontId="42" fillId="0" borderId="108" xfId="0" applyNumberFormat="1" applyFont="1" applyBorder="1"/>
    <xf numFmtId="170" fontId="42" fillId="0" borderId="109" xfId="0" applyNumberFormat="1" applyFont="1" applyBorder="1"/>
    <xf numFmtId="0" fontId="45" fillId="0" borderId="0" xfId="0" applyFont="1" applyBorder="1" applyProtection="1"/>
    <xf numFmtId="0" fontId="41" fillId="0" borderId="0" xfId="0" applyFont="1" applyBorder="1" applyAlignment="1" applyProtection="1">
      <alignment horizontal="center"/>
      <protection locked="0"/>
    </xf>
    <xf numFmtId="0" fontId="43" fillId="0" borderId="0" xfId="0" quotePrefix="1" applyFont="1" applyBorder="1" applyProtection="1"/>
    <xf numFmtId="0" fontId="43" fillId="0" borderId="0" xfId="0" applyFont="1" applyBorder="1" applyAlignment="1" applyProtection="1">
      <alignment horizontal="center"/>
      <protection locked="0"/>
    </xf>
    <xf numFmtId="171" fontId="41" fillId="0" borderId="0" xfId="49" applyNumberFormat="1" applyFont="1" applyProtection="1">
      <protection locked="0"/>
    </xf>
    <xf numFmtId="0" fontId="41" fillId="0" borderId="0" xfId="0" applyFont="1" applyAlignment="1" applyProtection="1">
      <alignment horizontal="center"/>
      <protection locked="0"/>
    </xf>
    <xf numFmtId="0" fontId="43" fillId="0" borderId="0" xfId="0" applyFont="1" applyBorder="1" applyAlignment="1" applyProtection="1">
      <alignment horizontal="right"/>
    </xf>
    <xf numFmtId="0" fontId="41" fillId="0" borderId="0" xfId="0" applyFont="1" applyAlignment="1" applyProtection="1">
      <alignment horizontal="center"/>
    </xf>
    <xf numFmtId="171" fontId="41" fillId="0" borderId="0" xfId="49" applyNumberFormat="1" applyFont="1" applyProtection="1"/>
    <xf numFmtId="0" fontId="42" fillId="0" borderId="72" xfId="0" applyFont="1" applyFill="1" applyBorder="1" applyAlignment="1">
      <alignment horizontal="center" vertical="center"/>
    </xf>
    <xf numFmtId="0" fontId="42" fillId="0" borderId="68" xfId="0" applyFont="1" applyFill="1" applyBorder="1" applyAlignment="1">
      <alignment vertical="center"/>
    </xf>
    <xf numFmtId="0" fontId="42" fillId="0" borderId="77" xfId="0" applyFont="1" applyFill="1" applyBorder="1" applyAlignment="1">
      <alignment horizontal="center" vertical="center" wrapText="1"/>
    </xf>
    <xf numFmtId="0" fontId="42" fillId="0" borderId="98" xfId="0" applyFont="1" applyFill="1" applyBorder="1" applyAlignment="1">
      <alignment horizontal="center" vertical="center" wrapText="1"/>
    </xf>
    <xf numFmtId="0" fontId="42" fillId="0" borderId="97" xfId="0" applyFont="1" applyFill="1" applyBorder="1" applyAlignment="1">
      <alignment horizontal="center" vertical="center" wrapText="1"/>
    </xf>
    <xf numFmtId="0" fontId="41" fillId="0" borderId="68" xfId="0" applyFont="1" applyBorder="1" applyAlignment="1">
      <alignment horizontal="center"/>
    </xf>
    <xf numFmtId="0" fontId="42" fillId="0" borderId="68" xfId="0" applyFont="1" applyBorder="1" applyAlignment="1">
      <alignment horizontal="center"/>
    </xf>
    <xf numFmtId="170" fontId="42" fillId="0" borderId="105" xfId="0" applyNumberFormat="1" applyFont="1" applyBorder="1" applyAlignment="1">
      <alignment horizontal="center"/>
    </xf>
    <xf numFmtId="0" fontId="42" fillId="0" borderId="52" xfId="0" applyFont="1" applyBorder="1" applyAlignment="1">
      <alignment horizontal="center"/>
    </xf>
    <xf numFmtId="0" fontId="42" fillId="0" borderId="105" xfId="0" applyFont="1" applyBorder="1" applyAlignment="1">
      <alignment horizontal="center"/>
    </xf>
    <xf numFmtId="0" fontId="42" fillId="0" borderId="92" xfId="0" applyFont="1" applyBorder="1" applyAlignment="1">
      <alignment horizontal="center"/>
    </xf>
    <xf numFmtId="0" fontId="42" fillId="0" borderId="72" xfId="0" applyFont="1" applyBorder="1" applyAlignment="1">
      <alignment horizontal="center"/>
    </xf>
    <xf numFmtId="0" fontId="41" fillId="0" borderId="61" xfId="0" applyFont="1" applyFill="1" applyBorder="1" applyAlignment="1">
      <alignment horizontal="center"/>
    </xf>
    <xf numFmtId="169" fontId="41" fillId="0" borderId="86" xfId="0" applyNumberFormat="1" applyFont="1" applyFill="1" applyBorder="1" applyProtection="1"/>
    <xf numFmtId="169" fontId="41" fillId="0" borderId="67" xfId="0" applyNumberFormat="1" applyFont="1" applyFill="1" applyBorder="1" applyProtection="1"/>
    <xf numFmtId="169" fontId="41" fillId="0" borderId="0" xfId="0" applyNumberFormat="1" applyFont="1" applyFill="1" applyBorder="1" applyProtection="1"/>
    <xf numFmtId="0" fontId="41" fillId="0" borderId="56" xfId="0" applyNumberFormat="1" applyFont="1" applyFill="1" applyBorder="1" applyAlignment="1">
      <alignment horizontal="left" indent="1"/>
    </xf>
    <xf numFmtId="169" fontId="41" fillId="0" borderId="0" xfId="0" applyNumberFormat="1" applyFont="1" applyBorder="1"/>
    <xf numFmtId="0" fontId="41" fillId="0" borderId="61" xfId="0" applyFont="1" applyBorder="1" applyAlignment="1">
      <alignment horizontal="center"/>
    </xf>
    <xf numFmtId="169" fontId="41" fillId="0" borderId="100" xfId="0" applyNumberFormat="1" applyFont="1" applyFill="1" applyBorder="1" applyProtection="1"/>
    <xf numFmtId="169" fontId="41" fillId="0" borderId="56" xfId="0" applyNumberFormat="1" applyFont="1" applyFill="1" applyBorder="1" applyProtection="1"/>
    <xf numFmtId="169" fontId="41" fillId="40" borderId="86" xfId="0" applyNumberFormat="1" applyFont="1" applyFill="1" applyBorder="1" applyProtection="1">
      <protection locked="0"/>
    </xf>
    <xf numFmtId="169" fontId="41" fillId="40" borderId="57" xfId="0" applyNumberFormat="1" applyFont="1" applyFill="1" applyBorder="1" applyProtection="1">
      <protection locked="0"/>
    </xf>
    <xf numFmtId="169" fontId="41" fillId="40" borderId="61" xfId="49" applyNumberFormat="1" applyFont="1" applyFill="1" applyBorder="1" applyProtection="1">
      <protection locked="0"/>
    </xf>
    <xf numFmtId="169" fontId="41" fillId="40" borderId="62" xfId="49" applyNumberFormat="1" applyFont="1" applyFill="1" applyBorder="1" applyProtection="1">
      <protection locked="0"/>
    </xf>
    <xf numFmtId="169" fontId="41" fillId="40" borderId="100" xfId="49" applyNumberFormat="1" applyFont="1" applyFill="1" applyBorder="1" applyProtection="1">
      <protection locked="0"/>
    </xf>
    <xf numFmtId="0" fontId="42" fillId="0" borderId="78" xfId="0" applyNumberFormat="1" applyFont="1" applyBorder="1" applyAlignment="1">
      <alignment horizontal="left" vertical="top" wrapText="1"/>
    </xf>
    <xf numFmtId="0" fontId="41" fillId="0" borderId="79" xfId="0" applyFont="1" applyBorder="1" applyAlignment="1">
      <alignment horizontal="center" vertical="top"/>
    </xf>
    <xf numFmtId="169" fontId="42" fillId="0" borderId="110" xfId="0" applyNumberFormat="1" applyFont="1" applyBorder="1" applyAlignment="1">
      <alignment vertical="top"/>
    </xf>
    <xf numFmtId="169" fontId="42" fillId="0" borderId="78" xfId="0" applyNumberFormat="1" applyFont="1" applyBorder="1" applyAlignment="1">
      <alignment vertical="top"/>
    </xf>
    <xf numFmtId="169" fontId="42" fillId="0" borderId="83" xfId="0" applyNumberFormat="1" applyFont="1" applyBorder="1" applyAlignment="1">
      <alignment vertical="top"/>
    </xf>
    <xf numFmtId="0" fontId="46" fillId="0" borderId="61" xfId="0" applyFont="1" applyBorder="1" applyAlignment="1">
      <alignment horizontal="center"/>
    </xf>
    <xf numFmtId="169" fontId="41" fillId="40" borderId="0" xfId="49" applyNumberFormat="1" applyFont="1" applyFill="1" applyBorder="1" applyProtection="1">
      <protection locked="0"/>
    </xf>
    <xf numFmtId="169" fontId="41" fillId="40" borderId="67" xfId="49" applyNumberFormat="1" applyFont="1" applyFill="1" applyBorder="1" applyProtection="1">
      <protection locked="0"/>
    </xf>
    <xf numFmtId="0" fontId="42" fillId="0" borderId="78" xfId="0" applyNumberFormat="1" applyFont="1" applyBorder="1" applyAlignment="1">
      <alignment vertical="top"/>
    </xf>
    <xf numFmtId="169" fontId="42" fillId="40" borderId="56" xfId="49" applyNumberFormat="1" applyFont="1" applyFill="1" applyBorder="1" applyProtection="1">
      <protection locked="0"/>
    </xf>
    <xf numFmtId="169" fontId="42" fillId="40" borderId="61" xfId="49" applyNumberFormat="1" applyFont="1" applyFill="1" applyBorder="1" applyProtection="1">
      <protection locked="0"/>
    </xf>
    <xf numFmtId="169" fontId="42" fillId="40" borderId="100" xfId="49" applyNumberFormat="1" applyFont="1" applyFill="1" applyBorder="1" applyProtection="1">
      <protection locked="0"/>
    </xf>
    <xf numFmtId="169" fontId="42" fillId="40" borderId="67" xfId="49" applyNumberFormat="1" applyFont="1" applyFill="1" applyBorder="1" applyProtection="1">
      <protection locked="0"/>
    </xf>
    <xf numFmtId="0" fontId="42" fillId="0" borderId="56" xfId="0" applyNumberFormat="1" applyFont="1" applyBorder="1" applyAlignment="1">
      <alignment horizontal="left" wrapText="1"/>
    </xf>
    <xf numFmtId="169" fontId="42" fillId="0" borderId="58" xfId="0" applyNumberFormat="1" applyFont="1" applyBorder="1" applyAlignment="1">
      <alignment vertical="top"/>
    </xf>
    <xf numFmtId="169" fontId="42" fillId="0" borderId="101" xfId="0" applyNumberFormat="1" applyFont="1" applyBorder="1" applyAlignment="1">
      <alignment vertical="top"/>
    </xf>
    <xf numFmtId="169" fontId="42" fillId="0" borderId="85" xfId="0" applyNumberFormat="1" applyFont="1" applyBorder="1" applyAlignment="1">
      <alignment vertical="top"/>
    </xf>
    <xf numFmtId="169" fontId="42" fillId="0" borderId="70" xfId="0" applyNumberFormat="1" applyFont="1" applyBorder="1" applyAlignment="1">
      <alignment vertical="top"/>
    </xf>
    <xf numFmtId="0" fontId="42" fillId="0" borderId="56" xfId="0" applyNumberFormat="1" applyFont="1" applyBorder="1" applyAlignment="1">
      <alignment wrapText="1"/>
    </xf>
    <xf numFmtId="0" fontId="42" fillId="0" borderId="74" xfId="0" applyNumberFormat="1" applyFont="1" applyBorder="1"/>
    <xf numFmtId="0" fontId="41" fillId="0" borderId="75" xfId="0" applyFont="1" applyBorder="1" applyAlignment="1">
      <alignment horizontal="center"/>
    </xf>
    <xf numFmtId="0" fontId="45" fillId="0" borderId="0" xfId="0" applyNumberFormat="1" applyFont="1" applyBorder="1" applyProtection="1"/>
    <xf numFmtId="0" fontId="41" fillId="0" borderId="0" xfId="0" applyFont="1" applyBorder="1" applyAlignment="1" applyProtection="1">
      <alignment horizontal="center"/>
    </xf>
    <xf numFmtId="170" fontId="42" fillId="0" borderId="0" xfId="0" applyNumberFormat="1" applyFont="1" applyBorder="1" applyProtection="1"/>
    <xf numFmtId="0" fontId="42" fillId="0" borderId="0" xfId="0" applyFont="1" applyBorder="1" applyProtection="1"/>
    <xf numFmtId="0" fontId="43" fillId="0" borderId="0" xfId="0" applyNumberFormat="1" applyFont="1" applyBorder="1" applyProtection="1"/>
    <xf numFmtId="0" fontId="43" fillId="0" borderId="56" xfId="0" applyFont="1" applyBorder="1" applyAlignment="1" applyProtection="1">
      <alignment horizontal="right"/>
    </xf>
    <xf numFmtId="0" fontId="43" fillId="0" borderId="0" xfId="0" applyFont="1" applyBorder="1" applyAlignment="1" applyProtection="1">
      <alignment horizontal="center"/>
    </xf>
    <xf numFmtId="0" fontId="41" fillId="0" borderId="0" xfId="0" applyFont="1" applyBorder="1" applyProtection="1"/>
    <xf numFmtId="170" fontId="41" fillId="0" borderId="0" xfId="0" applyNumberFormat="1" applyFont="1" applyBorder="1" applyProtection="1"/>
    <xf numFmtId="170" fontId="41" fillId="0" borderId="0" xfId="0" applyNumberFormat="1" applyFont="1"/>
    <xf numFmtId="169" fontId="42" fillId="0" borderId="68" xfId="0" applyNumberFormat="1" applyFont="1" applyBorder="1" applyAlignment="1">
      <alignment horizontal="center"/>
    </xf>
    <xf numFmtId="169" fontId="42" fillId="0" borderId="92" xfId="0" applyNumberFormat="1" applyFont="1" applyBorder="1" applyAlignment="1">
      <alignment horizontal="center"/>
    </xf>
    <xf numFmtId="169" fontId="42" fillId="0" borderId="52" xfId="0" applyNumberFormat="1" applyFont="1" applyBorder="1" applyAlignment="1">
      <alignment horizontal="center"/>
    </xf>
    <xf numFmtId="169" fontId="42" fillId="0" borderId="105" xfId="0" applyNumberFormat="1" applyFont="1" applyBorder="1" applyAlignment="1">
      <alignment horizontal="center"/>
    </xf>
    <xf numFmtId="169" fontId="42" fillId="0" borderId="0" xfId="0" applyNumberFormat="1" applyFont="1" applyBorder="1" applyAlignment="1">
      <alignment horizontal="center"/>
    </xf>
    <xf numFmtId="169" fontId="41" fillId="0" borderId="61" xfId="0" applyNumberFormat="1" applyFont="1" applyBorder="1" applyAlignment="1">
      <alignment horizontal="right"/>
    </xf>
    <xf numFmtId="169" fontId="41" fillId="0" borderId="100" xfId="0" applyNumberFormat="1" applyFont="1" applyBorder="1" applyAlignment="1">
      <alignment horizontal="right"/>
    </xf>
    <xf numFmtId="169" fontId="41" fillId="0" borderId="56" xfId="0" applyNumberFormat="1" applyFont="1" applyBorder="1" applyAlignment="1">
      <alignment horizontal="right"/>
    </xf>
    <xf numFmtId="169" fontId="41" fillId="0" borderId="0" xfId="0" applyNumberFormat="1" applyFont="1" applyFill="1" applyBorder="1" applyAlignment="1">
      <alignment horizontal="right"/>
    </xf>
    <xf numFmtId="167" fontId="41" fillId="0" borderId="0" xfId="49" applyFont="1" applyFill="1" applyBorder="1" applyAlignment="1">
      <alignment horizontal="right"/>
    </xf>
    <xf numFmtId="169" fontId="41" fillId="0" borderId="0" xfId="0" applyNumberFormat="1" applyFont="1" applyBorder="1" applyAlignment="1">
      <alignment horizontal="right"/>
    </xf>
    <xf numFmtId="167" fontId="41" fillId="0" borderId="0" xfId="0" applyNumberFormat="1" applyFont="1" applyAlignment="1">
      <alignment horizontal="right"/>
    </xf>
    <xf numFmtId="0" fontId="41" fillId="0" borderId="0" xfId="0" applyFont="1" applyAlignment="1">
      <alignment horizontal="right"/>
    </xf>
    <xf numFmtId="169" fontId="41" fillId="0" borderId="56" xfId="49" applyNumberFormat="1" applyFont="1" applyBorder="1" applyAlignment="1">
      <alignment horizontal="right"/>
    </xf>
    <xf numFmtId="169" fontId="41" fillId="0" borderId="100" xfId="49" applyNumberFormat="1" applyFont="1" applyBorder="1" applyAlignment="1">
      <alignment horizontal="right"/>
    </xf>
    <xf numFmtId="0" fontId="41" fillId="0" borderId="0" xfId="0" applyFont="1" applyFill="1" applyAlignment="1">
      <alignment horizontal="right"/>
    </xf>
    <xf numFmtId="169" fontId="42" fillId="0" borderId="58" xfId="0" applyNumberFormat="1" applyFont="1" applyFill="1" applyBorder="1" applyAlignment="1">
      <alignment horizontal="right"/>
    </xf>
    <xf numFmtId="169" fontId="42" fillId="0" borderId="106" xfId="0" applyNumberFormat="1" applyFont="1" applyFill="1" applyBorder="1"/>
    <xf numFmtId="169" fontId="42" fillId="0" borderId="85" xfId="0" applyNumberFormat="1" applyFont="1" applyFill="1" applyBorder="1"/>
    <xf numFmtId="169" fontId="42" fillId="0" borderId="101" xfId="0" applyNumberFormat="1" applyFont="1" applyFill="1" applyBorder="1"/>
    <xf numFmtId="169" fontId="41" fillId="0" borderId="61" xfId="49" applyNumberFormat="1" applyFont="1" applyBorder="1"/>
    <xf numFmtId="169" fontId="41" fillId="0" borderId="61" xfId="0" applyNumberFormat="1" applyFont="1" applyBorder="1" applyAlignment="1">
      <alignment horizontal="center"/>
    </xf>
    <xf numFmtId="169" fontId="41" fillId="0" borderId="61" xfId="0" applyNumberFormat="1" applyFont="1" applyFill="1" applyBorder="1" applyAlignment="1" applyProtection="1">
      <alignment horizontal="center"/>
    </xf>
    <xf numFmtId="169" fontId="41" fillId="0" borderId="100" xfId="0" applyNumberFormat="1" applyFont="1" applyFill="1" applyBorder="1" applyAlignment="1" applyProtection="1">
      <alignment horizontal="right"/>
    </xf>
    <xf numFmtId="169" fontId="41" fillId="0" borderId="56" xfId="0" applyNumberFormat="1" applyFont="1" applyFill="1" applyBorder="1" applyAlignment="1" applyProtection="1">
      <alignment horizontal="right"/>
    </xf>
    <xf numFmtId="169" fontId="41" fillId="0" borderId="61" xfId="0" applyNumberFormat="1" applyFont="1" applyFill="1" applyBorder="1" applyAlignment="1" applyProtection="1">
      <alignment horizontal="right"/>
    </xf>
    <xf numFmtId="169" fontId="41" fillId="0" borderId="0" xfId="0" applyNumberFormat="1" applyFont="1" applyFill="1" applyBorder="1" applyAlignment="1" applyProtection="1">
      <alignment horizontal="right"/>
    </xf>
    <xf numFmtId="169" fontId="42" fillId="0" borderId="58" xfId="0" applyNumberFormat="1" applyFont="1" applyFill="1" applyBorder="1" applyAlignment="1">
      <alignment horizontal="center"/>
    </xf>
    <xf numFmtId="169" fontId="42" fillId="0" borderId="101" xfId="0" applyNumberFormat="1" applyFont="1" applyFill="1" applyBorder="1" applyAlignment="1">
      <alignment horizontal="right"/>
    </xf>
    <xf numFmtId="169" fontId="42" fillId="0" borderId="85" xfId="0" applyNumberFormat="1" applyFont="1" applyFill="1" applyBorder="1" applyAlignment="1">
      <alignment horizontal="right"/>
    </xf>
    <xf numFmtId="169" fontId="42" fillId="0" borderId="106" xfId="0" applyNumberFormat="1" applyFont="1" applyFill="1" applyBorder="1" applyAlignment="1">
      <alignment horizontal="right"/>
    </xf>
    <xf numFmtId="169" fontId="42" fillId="0" borderId="75" xfId="0" applyNumberFormat="1" applyFont="1" applyBorder="1" applyAlignment="1">
      <alignment horizontal="center"/>
    </xf>
    <xf numFmtId="169" fontId="42" fillId="0" borderId="102" xfId="0" applyNumberFormat="1" applyFont="1" applyBorder="1" applyAlignment="1">
      <alignment horizontal="right"/>
    </xf>
    <xf numFmtId="169" fontId="42" fillId="0" borderId="73" xfId="0" applyNumberFormat="1" applyFont="1" applyBorder="1" applyAlignment="1">
      <alignment horizontal="right"/>
    </xf>
    <xf numFmtId="169" fontId="42" fillId="0" borderId="75" xfId="0" applyNumberFormat="1" applyFont="1" applyBorder="1" applyAlignment="1">
      <alignment horizontal="right"/>
    </xf>
    <xf numFmtId="169" fontId="42" fillId="0" borderId="107" xfId="0" applyNumberFormat="1" applyFont="1" applyBorder="1" applyAlignment="1">
      <alignment horizontal="right"/>
    </xf>
    <xf numFmtId="169" fontId="41" fillId="0" borderId="67" xfId="0" applyNumberFormat="1" applyFont="1" applyBorder="1" applyAlignment="1">
      <alignment horizontal="right"/>
    </xf>
    <xf numFmtId="169" fontId="41" fillId="0" borderId="62" xfId="0" applyNumberFormat="1" applyFont="1" applyBorder="1" applyAlignment="1">
      <alignment horizontal="right"/>
    </xf>
    <xf numFmtId="0" fontId="47" fillId="0" borderId="56" xfId="0" applyNumberFormat="1" applyFont="1" applyFill="1" applyBorder="1" applyAlignment="1" applyProtection="1">
      <alignment horizontal="left" indent="1"/>
    </xf>
    <xf numFmtId="169" fontId="42" fillId="0" borderId="61" xfId="0" applyNumberFormat="1" applyFont="1" applyFill="1" applyBorder="1" applyProtection="1"/>
    <xf numFmtId="169" fontId="42" fillId="0" borderId="86" xfId="0" applyNumberFormat="1" applyFont="1" applyFill="1" applyBorder="1" applyProtection="1"/>
    <xf numFmtId="169" fontId="42" fillId="0" borderId="67" xfId="0" applyNumberFormat="1" applyFont="1" applyFill="1" applyBorder="1" applyProtection="1"/>
    <xf numFmtId="169" fontId="42" fillId="0" borderId="62" xfId="0" applyNumberFormat="1" applyFont="1" applyFill="1" applyBorder="1" applyProtection="1"/>
    <xf numFmtId="169" fontId="42" fillId="0" borderId="0" xfId="0" applyNumberFormat="1" applyFont="1" applyFill="1" applyBorder="1" applyProtection="1"/>
    <xf numFmtId="171" fontId="41" fillId="0" borderId="0" xfId="49" applyNumberFormat="1" applyFont="1" applyAlignment="1">
      <alignment horizontal="center"/>
    </xf>
    <xf numFmtId="172" fontId="41" fillId="0" borderId="0" xfId="195" applyNumberFormat="1" applyFont="1" applyAlignment="1">
      <alignment horizontal="center"/>
    </xf>
    <xf numFmtId="0" fontId="41" fillId="0" borderId="56" xfId="0" applyNumberFormat="1" applyFont="1" applyFill="1" applyBorder="1" applyAlignment="1" applyProtection="1">
      <alignment horizontal="left" indent="2"/>
    </xf>
    <xf numFmtId="169" fontId="42" fillId="0" borderId="100" xfId="0" applyNumberFormat="1" applyFont="1" applyFill="1" applyBorder="1" applyProtection="1"/>
    <xf numFmtId="169" fontId="42" fillId="0" borderId="56" xfId="0" applyNumberFormat="1" applyFont="1" applyFill="1" applyBorder="1" applyProtection="1"/>
    <xf numFmtId="0" fontId="41" fillId="0" borderId="61" xfId="0" applyNumberFormat="1" applyFont="1" applyFill="1" applyBorder="1" applyAlignment="1" applyProtection="1">
      <alignment horizontal="center"/>
    </xf>
    <xf numFmtId="169" fontId="42" fillId="40" borderId="61" xfId="0" applyNumberFormat="1" applyFont="1" applyFill="1" applyBorder="1" applyProtection="1">
      <protection locked="0"/>
    </xf>
    <xf numFmtId="169" fontId="42" fillId="40" borderId="100" xfId="0" applyNumberFormat="1" applyFont="1" applyFill="1" applyBorder="1" applyProtection="1">
      <protection locked="0"/>
    </xf>
    <xf numFmtId="169" fontId="42" fillId="40" borderId="84" xfId="0" applyNumberFormat="1" applyFont="1" applyFill="1" applyBorder="1" applyProtection="1">
      <protection locked="0"/>
    </xf>
    <xf numFmtId="169" fontId="42" fillId="40" borderId="65" xfId="0" applyNumberFormat="1" applyFont="1" applyFill="1" applyBorder="1" applyProtection="1">
      <protection locked="0"/>
    </xf>
    <xf numFmtId="169" fontId="42" fillId="40" borderId="66" xfId="0" applyNumberFormat="1" applyFont="1" applyFill="1" applyBorder="1" applyProtection="1">
      <protection locked="0"/>
    </xf>
    <xf numFmtId="0" fontId="42" fillId="0" borderId="73" xfId="0" applyFont="1" applyBorder="1" applyAlignment="1">
      <alignment horizontal="left"/>
    </xf>
    <xf numFmtId="169" fontId="42" fillId="0" borderId="107" xfId="0" applyNumberFormat="1" applyFont="1" applyFill="1" applyBorder="1"/>
    <xf numFmtId="0" fontId="41" fillId="0" borderId="56" xfId="0" applyFont="1" applyBorder="1" applyAlignment="1">
      <alignment horizontal="left" indent="2"/>
    </xf>
    <xf numFmtId="0" fontId="41" fillId="0" borderId="56" xfId="0" applyFont="1" applyFill="1" applyBorder="1" applyAlignment="1">
      <alignment horizontal="left" indent="2"/>
    </xf>
    <xf numFmtId="169" fontId="41" fillId="40" borderId="81" xfId="0" applyNumberFormat="1" applyFont="1" applyFill="1" applyBorder="1" applyProtection="1">
      <protection locked="0"/>
    </xf>
    <xf numFmtId="169" fontId="41" fillId="40" borderId="80" xfId="0" applyNumberFormat="1" applyFont="1" applyFill="1" applyBorder="1" applyProtection="1">
      <protection locked="0"/>
    </xf>
    <xf numFmtId="169" fontId="41" fillId="40" borderId="65" xfId="0" applyNumberFormat="1" applyFont="1" applyFill="1" applyBorder="1" applyProtection="1">
      <protection locked="0"/>
    </xf>
    <xf numFmtId="0" fontId="42" fillId="0" borderId="56" xfId="0" applyFont="1" applyFill="1" applyBorder="1" applyAlignment="1">
      <alignment horizontal="left" indent="1"/>
    </xf>
    <xf numFmtId="173" fontId="41" fillId="0" borderId="0" xfId="0" applyNumberFormat="1" applyFont="1" applyFill="1"/>
    <xf numFmtId="0" fontId="42" fillId="0" borderId="56" xfId="0" applyFont="1" applyBorder="1" applyAlignment="1">
      <alignment horizontal="left" indent="1"/>
    </xf>
    <xf numFmtId="169" fontId="41" fillId="0" borderId="61" xfId="49" applyNumberFormat="1" applyFont="1" applyFill="1" applyBorder="1" applyProtection="1"/>
    <xf numFmtId="170" fontId="47" fillId="0" borderId="0" xfId="0" applyNumberFormat="1" applyFont="1" applyBorder="1" applyProtection="1"/>
    <xf numFmtId="0" fontId="41" fillId="0" borderId="0" xfId="0" applyFont="1" applyFill="1" applyProtection="1">
      <protection locked="0"/>
    </xf>
    <xf numFmtId="0" fontId="43" fillId="0" borderId="0" xfId="0" applyFont="1" applyBorder="1" applyProtection="1"/>
    <xf numFmtId="0" fontId="47" fillId="0" borderId="0" xfId="0" applyFont="1" applyBorder="1" applyProtection="1"/>
    <xf numFmtId="0" fontId="43" fillId="0" borderId="0" xfId="0" quotePrefix="1" applyFont="1" applyBorder="1" applyAlignment="1" applyProtection="1">
      <alignment horizontal="left" wrapText="1"/>
    </xf>
    <xf numFmtId="0" fontId="41" fillId="0" borderId="0" xfId="0" applyFont="1" applyFill="1" applyBorder="1" applyAlignment="1" applyProtection="1">
      <protection locked="0"/>
    </xf>
    <xf numFmtId="0" fontId="41" fillId="0" borderId="0" xfId="0" applyFont="1" applyBorder="1" applyAlignment="1" applyProtection="1">
      <protection locked="0"/>
    </xf>
    <xf numFmtId="174" fontId="43" fillId="0" borderId="0" xfId="49" applyNumberFormat="1" applyFont="1" applyBorder="1" applyAlignment="1">
      <alignment horizontal="right"/>
    </xf>
    <xf numFmtId="174" fontId="41" fillId="0" borderId="0" xfId="49" applyNumberFormat="1" applyFont="1"/>
    <xf numFmtId="174" fontId="41" fillId="0" borderId="0" xfId="49" applyNumberFormat="1" applyFont="1" applyFill="1"/>
    <xf numFmtId="0" fontId="42" fillId="0" borderId="74" xfId="0" applyFont="1" applyFill="1" applyBorder="1" applyAlignment="1">
      <alignment horizontal="center" vertical="center" wrapText="1"/>
    </xf>
    <xf numFmtId="169" fontId="42" fillId="0" borderId="72" xfId="0" applyNumberFormat="1" applyFont="1" applyBorder="1" applyAlignment="1">
      <alignment horizontal="center"/>
    </xf>
    <xf numFmtId="169" fontId="42" fillId="0" borderId="69" xfId="0" applyNumberFormat="1" applyFont="1" applyBorder="1" applyAlignment="1">
      <alignment horizontal="center"/>
    </xf>
    <xf numFmtId="169" fontId="41" fillId="0" borderId="56" xfId="0" applyNumberFormat="1" applyFont="1" applyBorder="1" applyProtection="1"/>
    <xf numFmtId="169" fontId="41" fillId="0" borderId="100" xfId="0" applyNumberFormat="1" applyFont="1" applyBorder="1" applyProtection="1"/>
    <xf numFmtId="0" fontId="42" fillId="0" borderId="85" xfId="0" applyNumberFormat="1" applyFont="1" applyBorder="1" applyAlignment="1">
      <alignment vertical="center" wrapText="1"/>
    </xf>
    <xf numFmtId="169" fontId="42" fillId="0" borderId="70" xfId="0" applyNumberFormat="1" applyFont="1" applyBorder="1" applyAlignment="1">
      <alignment vertical="center"/>
    </xf>
    <xf numFmtId="169" fontId="42" fillId="0" borderId="58" xfId="0" applyNumberFormat="1" applyFont="1" applyBorder="1" applyAlignment="1">
      <alignment vertical="center"/>
    </xf>
    <xf numFmtId="169" fontId="42" fillId="0" borderId="59" xfId="0" applyNumberFormat="1" applyFont="1" applyBorder="1" applyAlignment="1">
      <alignment vertical="center"/>
    </xf>
    <xf numFmtId="169" fontId="42" fillId="0" borderId="85" xfId="0" applyNumberFormat="1" applyFont="1" applyBorder="1" applyAlignment="1">
      <alignment vertical="center"/>
    </xf>
    <xf numFmtId="169" fontId="42" fillId="0" borderId="101" xfId="0" applyNumberFormat="1" applyFont="1" applyBorder="1" applyAlignment="1">
      <alignment vertical="center"/>
    </xf>
    <xf numFmtId="0" fontId="41" fillId="0" borderId="0" xfId="0" applyFont="1" applyAlignment="1">
      <alignment vertical="center"/>
    </xf>
    <xf numFmtId="169" fontId="41" fillId="40" borderId="84" xfId="0" applyNumberFormat="1" applyFont="1" applyFill="1" applyBorder="1" applyProtection="1">
      <protection locked="0"/>
    </xf>
    <xf numFmtId="0" fontId="41" fillId="0" borderId="56" xfId="0" applyNumberFormat="1" applyFont="1" applyBorder="1" applyAlignment="1" applyProtection="1">
      <alignment horizontal="left" indent="1"/>
    </xf>
    <xf numFmtId="0" fontId="42" fillId="0" borderId="56" xfId="0" applyNumberFormat="1" applyFont="1" applyBorder="1" applyAlignment="1">
      <alignment vertical="center" wrapText="1"/>
    </xf>
    <xf numFmtId="169" fontId="42" fillId="0" borderId="56" xfId="0" applyNumberFormat="1" applyFont="1" applyFill="1" applyBorder="1"/>
    <xf numFmtId="169" fontId="42" fillId="0" borderId="61" xfId="0" applyNumberFormat="1" applyFont="1" applyFill="1" applyBorder="1"/>
    <xf numFmtId="169" fontId="42" fillId="0" borderId="0" xfId="0" applyNumberFormat="1" applyFont="1" applyFill="1" applyBorder="1"/>
    <xf numFmtId="169" fontId="42" fillId="0" borderId="100" xfId="0" applyNumberFormat="1" applyFont="1" applyFill="1" applyBorder="1"/>
    <xf numFmtId="0" fontId="42" fillId="0" borderId="0" xfId="0" applyNumberFormat="1" applyFont="1" applyBorder="1" applyAlignment="1">
      <alignment vertical="center" wrapText="1"/>
    </xf>
    <xf numFmtId="0" fontId="45" fillId="0" borderId="0" xfId="0" applyFont="1" applyFill="1" applyBorder="1" applyAlignment="1" applyProtection="1">
      <alignment vertical="center" wrapText="1"/>
    </xf>
    <xf numFmtId="0" fontId="43" fillId="0" borderId="0" xfId="0" applyFont="1" applyProtection="1"/>
    <xf numFmtId="167" fontId="41" fillId="0" borderId="0" xfId="49" applyFont="1"/>
    <xf numFmtId="0" fontId="29" fillId="34" borderId="31" xfId="0" applyFont="1" applyFill="1" applyBorder="1" applyAlignment="1">
      <alignment horizontal="center" vertical="top" wrapText="1"/>
    </xf>
    <xf numFmtId="4" fontId="29" fillId="34" borderId="31" xfId="0" applyNumberFormat="1" applyFont="1" applyFill="1" applyBorder="1" applyAlignment="1">
      <alignment horizontal="center" vertical="top" wrapText="1"/>
    </xf>
    <xf numFmtId="0" fontId="29" fillId="34" borderId="31" xfId="0" applyFont="1" applyFill="1" applyBorder="1" applyAlignment="1">
      <alignment vertical="top" wrapText="1"/>
    </xf>
    <xf numFmtId="0" fontId="41" fillId="0" borderId="0" xfId="0" applyFont="1" applyAlignment="1">
      <alignment wrapText="1"/>
    </xf>
    <xf numFmtId="0" fontId="44" fillId="0" borderId="52" xfId="0" applyNumberFormat="1" applyFont="1" applyBorder="1" applyAlignment="1">
      <alignment wrapText="1"/>
    </xf>
    <xf numFmtId="0" fontId="41" fillId="0" borderId="56" xfId="0" applyNumberFormat="1" applyFont="1" applyBorder="1" applyAlignment="1">
      <alignment horizontal="left" wrapText="1"/>
    </xf>
    <xf numFmtId="0" fontId="41" fillId="0" borderId="56" xfId="0" applyNumberFormat="1" applyFont="1" applyBorder="1" applyAlignment="1">
      <alignment wrapText="1"/>
    </xf>
    <xf numFmtId="0" fontId="44" fillId="0" borderId="56" xfId="0" applyNumberFormat="1" applyFont="1" applyBorder="1" applyAlignment="1">
      <alignment wrapText="1"/>
    </xf>
    <xf numFmtId="0" fontId="42" fillId="0" borderId="85" xfId="0" applyNumberFormat="1" applyFont="1" applyBorder="1" applyAlignment="1">
      <alignment wrapText="1"/>
    </xf>
    <xf numFmtId="0" fontId="41" fillId="0" borderId="56" xfId="0" applyNumberFormat="1" applyFont="1" applyFill="1" applyBorder="1" applyAlignment="1">
      <alignment horizontal="left" wrapText="1"/>
    </xf>
    <xf numFmtId="0" fontId="41" fillId="0" borderId="56" xfId="0" applyNumberFormat="1" applyFont="1" applyBorder="1" applyAlignment="1">
      <alignment horizontal="left" vertical="top" wrapText="1"/>
    </xf>
    <xf numFmtId="0" fontId="43" fillId="0" borderId="0" xfId="0" applyFont="1" applyAlignment="1">
      <alignment horizontal="right" wrapText="1"/>
    </xf>
    <xf numFmtId="0" fontId="41" fillId="0" borderId="56" xfId="0" applyNumberFormat="1" applyFont="1" applyFill="1" applyBorder="1" applyAlignment="1" applyProtection="1">
      <alignment horizontal="left" wrapText="1"/>
    </xf>
    <xf numFmtId="15" fontId="22" fillId="34" borderId="31" xfId="0" applyNumberFormat="1" applyFont="1" applyFill="1" applyBorder="1" applyAlignment="1">
      <alignment vertical="top" wrapText="1"/>
    </xf>
    <xf numFmtId="9" fontId="22" fillId="34" borderId="31" xfId="0" applyNumberFormat="1" applyFont="1" applyFill="1" applyBorder="1" applyAlignment="1">
      <alignment horizontal="center" vertical="top" wrapText="1"/>
    </xf>
    <xf numFmtId="168" fontId="22" fillId="34" borderId="31" xfId="0" applyNumberFormat="1" applyFont="1" applyFill="1" applyBorder="1" applyAlignment="1">
      <alignment horizontal="center" vertical="top" wrapText="1"/>
    </xf>
    <xf numFmtId="0" fontId="30" fillId="34" borderId="31" xfId="0" applyFont="1" applyFill="1" applyBorder="1" applyAlignment="1">
      <alignment horizontal="left" vertical="top" wrapText="1"/>
    </xf>
    <xf numFmtId="15" fontId="30" fillId="34" borderId="31" xfId="0" applyNumberFormat="1" applyFont="1" applyFill="1" applyBorder="1" applyAlignment="1">
      <alignment horizontal="center" vertical="top" wrapText="1"/>
    </xf>
    <xf numFmtId="9" fontId="30" fillId="34" borderId="31" xfId="0" applyNumberFormat="1" applyFont="1" applyFill="1" applyBorder="1" applyAlignment="1">
      <alignment vertical="top" wrapText="1"/>
    </xf>
    <xf numFmtId="15" fontId="30" fillId="34" borderId="31" xfId="0" applyNumberFormat="1" applyFont="1" applyFill="1" applyBorder="1" applyAlignment="1">
      <alignment horizontal="left" vertical="top" wrapText="1"/>
    </xf>
    <xf numFmtId="14" fontId="30" fillId="34" borderId="31" xfId="0" applyNumberFormat="1" applyFont="1" applyFill="1" applyBorder="1" applyAlignment="1">
      <alignment horizontal="center" vertical="top" wrapText="1"/>
    </xf>
    <xf numFmtId="15" fontId="22" fillId="34" borderId="31" xfId="0" applyNumberFormat="1" applyFont="1" applyFill="1" applyBorder="1" applyAlignment="1">
      <alignment horizontal="center" vertical="top" wrapText="1"/>
    </xf>
    <xf numFmtId="9" fontId="22" fillId="34" borderId="31" xfId="0" applyNumberFormat="1" applyFont="1" applyFill="1" applyBorder="1" applyAlignment="1">
      <alignment horizontal="left" vertical="top" wrapText="1"/>
    </xf>
    <xf numFmtId="0" fontId="53" fillId="34" borderId="12" xfId="0" applyFont="1" applyFill="1" applyBorder="1" applyAlignment="1">
      <alignment horizontal="center" vertical="top" wrapText="1"/>
    </xf>
    <xf numFmtId="0" fontId="29" fillId="34" borderId="32" xfId="0" applyFont="1" applyFill="1" applyBorder="1" applyAlignment="1">
      <alignment vertical="top" wrapText="1"/>
    </xf>
    <xf numFmtId="0" fontId="29" fillId="34" borderId="28" xfId="0" applyFont="1" applyFill="1" applyBorder="1" applyAlignment="1">
      <alignment vertical="top" wrapText="1"/>
    </xf>
    <xf numFmtId="0" fontId="54" fillId="34" borderId="33" xfId="0" applyFont="1" applyFill="1" applyBorder="1" applyAlignment="1">
      <alignment horizontal="left" vertical="top" wrapText="1"/>
    </xf>
    <xf numFmtId="0" fontId="55" fillId="34" borderId="0" xfId="0" applyFont="1" applyFill="1"/>
    <xf numFmtId="0" fontId="30" fillId="34" borderId="17" xfId="0" applyFont="1" applyFill="1" applyBorder="1" applyAlignment="1">
      <alignment horizontal="center" vertical="top" wrapText="1"/>
    </xf>
    <xf numFmtId="4" fontId="30" fillId="34" borderId="31" xfId="0" applyNumberFormat="1" applyFont="1" applyFill="1" applyBorder="1" applyAlignment="1">
      <alignment vertical="top" wrapText="1"/>
    </xf>
    <xf numFmtId="0" fontId="30" fillId="34" borderId="31" xfId="0" applyNumberFormat="1" applyFont="1" applyFill="1" applyBorder="1" applyAlignment="1">
      <alignment horizontal="center" vertical="top" wrapText="1"/>
    </xf>
    <xf numFmtId="4" fontId="30" fillId="34" borderId="31" xfId="0" applyNumberFormat="1" applyFont="1" applyFill="1" applyBorder="1" applyAlignment="1">
      <alignment horizontal="center" vertical="top" wrapText="1"/>
    </xf>
    <xf numFmtId="0" fontId="57" fillId="34" borderId="17" xfId="0" applyFont="1" applyFill="1" applyBorder="1" applyAlignment="1">
      <alignment horizontal="center" vertical="top" wrapText="1"/>
    </xf>
    <xf numFmtId="0" fontId="57" fillId="34" borderId="31" xfId="0" applyFont="1" applyFill="1" applyBorder="1" applyAlignment="1">
      <alignment vertical="top" wrapText="1"/>
    </xf>
    <xf numFmtId="1" fontId="22" fillId="34" borderId="31" xfId="0" applyNumberFormat="1" applyFont="1" applyFill="1" applyBorder="1" applyAlignment="1">
      <alignment horizontal="center" vertical="top" wrapText="1"/>
    </xf>
    <xf numFmtId="4" fontId="57" fillId="34" borderId="31" xfId="0" applyNumberFormat="1" applyFont="1" applyFill="1" applyBorder="1" applyAlignment="1">
      <alignment horizontal="center" vertical="top" wrapText="1"/>
    </xf>
    <xf numFmtId="0" fontId="57" fillId="34" borderId="31" xfId="0" applyFont="1" applyFill="1" applyBorder="1" applyAlignment="1">
      <alignment horizontal="center" vertical="top" wrapText="1"/>
    </xf>
    <xf numFmtId="0" fontId="22" fillId="34" borderId="31" xfId="0" applyNumberFormat="1" applyFont="1" applyFill="1" applyBorder="1" applyAlignment="1">
      <alignment horizontal="center" vertical="top" wrapText="1"/>
    </xf>
    <xf numFmtId="9" fontId="57" fillId="34" borderId="31" xfId="0" applyNumberFormat="1" applyFont="1" applyFill="1" applyBorder="1" applyAlignment="1">
      <alignment horizontal="center" vertical="top" wrapText="1"/>
    </xf>
    <xf numFmtId="0" fontId="57" fillId="34" borderId="31" xfId="0" applyNumberFormat="1" applyFont="1" applyFill="1" applyBorder="1" applyAlignment="1">
      <alignment horizontal="center" vertical="top" wrapText="1"/>
    </xf>
    <xf numFmtId="0" fontId="22" fillId="34" borderId="17" xfId="0" applyFont="1" applyFill="1" applyBorder="1" applyAlignment="1">
      <alignment horizontal="center" vertical="top" wrapText="1"/>
    </xf>
    <xf numFmtId="4" fontId="22" fillId="34" borderId="31" xfId="0" applyNumberFormat="1" applyFont="1" applyFill="1" applyBorder="1" applyAlignment="1">
      <alignment horizontal="center" vertical="top" wrapText="1"/>
    </xf>
    <xf numFmtId="0" fontId="58" fillId="34" borderId="0" xfId="0" applyFont="1" applyFill="1"/>
    <xf numFmtId="9" fontId="30" fillId="34" borderId="50" xfId="0" applyNumberFormat="1" applyFont="1" applyFill="1" applyBorder="1" applyAlignment="1">
      <alignment horizontal="center" vertical="top" wrapText="1"/>
    </xf>
    <xf numFmtId="0" fontId="58" fillId="34" borderId="51" xfId="0" applyFont="1" applyFill="1" applyBorder="1" applyAlignment="1">
      <alignment horizontal="center"/>
    </xf>
    <xf numFmtId="0" fontId="54" fillId="41" borderId="31" xfId="0" applyFont="1" applyFill="1" applyBorder="1" applyAlignment="1">
      <alignment horizontal="left" vertical="top" wrapText="1"/>
    </xf>
    <xf numFmtId="0" fontId="55" fillId="34" borderId="35" xfId="0" applyFont="1" applyFill="1" applyBorder="1"/>
    <xf numFmtId="0" fontId="57" fillId="0" borderId="31" xfId="0" applyFont="1" applyBorder="1" applyAlignment="1">
      <alignment vertical="top" wrapText="1"/>
    </xf>
    <xf numFmtId="0" fontId="30" fillId="0" borderId="31" xfId="0" applyFont="1" applyBorder="1" applyAlignment="1">
      <alignment horizontal="left" vertical="top" wrapText="1"/>
    </xf>
    <xf numFmtId="4" fontId="30" fillId="34" borderId="31" xfId="0" applyNumberFormat="1" applyFont="1" applyFill="1" applyBorder="1" applyAlignment="1">
      <alignment horizontal="left" vertical="top" wrapText="1"/>
    </xf>
    <xf numFmtId="0" fontId="55" fillId="0" borderId="31" xfId="0" applyFont="1" applyBorder="1" applyAlignment="1">
      <alignment horizontal="left" vertical="top" wrapText="1"/>
    </xf>
    <xf numFmtId="0" fontId="55" fillId="0" borderId="0" xfId="0" applyFont="1"/>
    <xf numFmtId="0" fontId="22" fillId="0" borderId="31" xfId="0" applyFont="1" applyBorder="1" applyAlignment="1">
      <alignment horizontal="center" vertical="top" wrapText="1"/>
    </xf>
    <xf numFmtId="1" fontId="22" fillId="0" borderId="31" xfId="0" applyNumberFormat="1" applyFont="1" applyBorder="1" applyAlignment="1">
      <alignment horizontal="center" vertical="top" wrapText="1"/>
    </xf>
    <xf numFmtId="1" fontId="22" fillId="34" borderId="31" xfId="0" applyNumberFormat="1" applyFont="1" applyFill="1" applyBorder="1" applyAlignment="1">
      <alignment vertical="top" wrapText="1"/>
    </xf>
    <xf numFmtId="1" fontId="22" fillId="0" borderId="31" xfId="0" applyNumberFormat="1" applyFont="1" applyBorder="1" applyAlignment="1">
      <alignment vertical="top" wrapText="1"/>
    </xf>
    <xf numFmtId="9" fontId="22" fillId="34" borderId="31" xfId="224" applyFont="1" applyFill="1" applyBorder="1" applyAlignment="1">
      <alignment horizontal="center" vertical="top" wrapText="1"/>
    </xf>
    <xf numFmtId="0" fontId="22" fillId="0" borderId="31" xfId="0" applyNumberFormat="1" applyFont="1" applyBorder="1" applyAlignment="1">
      <alignment vertical="top" wrapText="1"/>
    </xf>
    <xf numFmtId="0" fontId="22" fillId="34" borderId="31" xfId="0" applyNumberFormat="1" applyFont="1" applyFill="1" applyBorder="1" applyAlignment="1">
      <alignment vertical="top" wrapText="1"/>
    </xf>
    <xf numFmtId="9" fontId="22" fillId="0" borderId="31" xfId="0" applyNumberFormat="1" applyFont="1" applyBorder="1" applyAlignment="1">
      <alignment horizontal="center" vertical="top" wrapText="1"/>
    </xf>
    <xf numFmtId="0" fontId="22" fillId="34" borderId="31" xfId="224" applyNumberFormat="1" applyFont="1" applyFill="1" applyBorder="1" applyAlignment="1">
      <alignment horizontal="center" vertical="top" wrapText="1"/>
    </xf>
    <xf numFmtId="0" fontId="22" fillId="0" borderId="13" xfId="0" applyFont="1" applyBorder="1" applyAlignment="1">
      <alignment vertical="top" wrapText="1"/>
    </xf>
    <xf numFmtId="0" fontId="59" fillId="34" borderId="0" xfId="0" applyFont="1" applyFill="1" applyBorder="1" applyAlignment="1">
      <alignment horizontal="center" vertical="top"/>
    </xf>
    <xf numFmtId="0" fontId="59" fillId="34" borderId="22" xfId="0" applyFont="1" applyFill="1" applyBorder="1" applyAlignment="1">
      <alignment horizontal="center" vertical="top"/>
    </xf>
    <xf numFmtId="0" fontId="55" fillId="34" borderId="36" xfId="0" applyFont="1" applyFill="1" applyBorder="1" applyAlignment="1">
      <alignment vertical="top"/>
    </xf>
    <xf numFmtId="0" fontId="53" fillId="34" borderId="36" xfId="0" applyFont="1" applyFill="1" applyBorder="1" applyAlignment="1">
      <alignment horizontal="center" vertical="top" wrapText="1"/>
    </xf>
    <xf numFmtId="3" fontId="53" fillId="34" borderId="36" xfId="0" applyNumberFormat="1" applyFont="1" applyFill="1" applyBorder="1" applyAlignment="1">
      <alignment horizontal="center" vertical="top" wrapText="1"/>
    </xf>
    <xf numFmtId="0" fontId="53" fillId="34" borderId="36" xfId="0" applyFont="1" applyFill="1" applyBorder="1" applyAlignment="1">
      <alignment horizontal="left" vertical="top" wrapText="1"/>
    </xf>
    <xf numFmtId="0" fontId="55" fillId="34" borderId="43" xfId="0" applyFont="1" applyFill="1" applyBorder="1" applyAlignment="1">
      <alignment vertical="top" wrapText="1"/>
    </xf>
    <xf numFmtId="0" fontId="22" fillId="34" borderId="43" xfId="0" applyFont="1" applyFill="1" applyBorder="1" applyAlignment="1">
      <alignment vertical="top" wrapText="1"/>
    </xf>
    <xf numFmtId="0" fontId="55" fillId="34" borderId="10" xfId="0" applyFont="1" applyFill="1" applyBorder="1" applyAlignment="1">
      <alignment vertical="top" wrapText="1"/>
    </xf>
    <xf numFmtId="14" fontId="55" fillId="34" borderId="10" xfId="0" applyNumberFormat="1" applyFont="1" applyFill="1" applyBorder="1" applyAlignment="1">
      <alignment vertical="top" wrapText="1"/>
    </xf>
    <xf numFmtId="0" fontId="55" fillId="34" borderId="17" xfId="0" applyFont="1" applyFill="1" applyBorder="1" applyAlignment="1">
      <alignment vertical="top" wrapText="1"/>
    </xf>
    <xf numFmtId="3" fontId="59" fillId="34" borderId="10" xfId="0" applyNumberFormat="1" applyFont="1" applyFill="1" applyBorder="1" applyAlignment="1">
      <alignment vertical="top"/>
    </xf>
    <xf numFmtId="0" fontId="55" fillId="34" borderId="11" xfId="0" applyFont="1" applyFill="1" applyBorder="1" applyAlignment="1">
      <alignment vertical="top" wrapText="1"/>
    </xf>
    <xf numFmtId="0" fontId="55" fillId="34" borderId="17" xfId="0" applyNumberFormat="1" applyFont="1" applyFill="1" applyBorder="1" applyAlignment="1">
      <alignment vertical="top" wrapText="1"/>
    </xf>
    <xf numFmtId="3" fontId="60" fillId="34" borderId="43" xfId="1" applyNumberFormat="1" applyFont="1" applyFill="1" applyBorder="1" applyAlignment="1">
      <alignment vertical="top"/>
    </xf>
    <xf numFmtId="0" fontId="58" fillId="34" borderId="43" xfId="0" applyFont="1" applyFill="1" applyBorder="1" applyAlignment="1">
      <alignment vertical="top" wrapText="1"/>
    </xf>
    <xf numFmtId="0" fontId="22" fillId="34" borderId="17" xfId="0" applyFont="1" applyFill="1" applyBorder="1" applyAlignment="1">
      <alignment vertical="top" wrapText="1"/>
    </xf>
    <xf numFmtId="0" fontId="55" fillId="34" borderId="14" xfId="0" applyFont="1" applyFill="1" applyBorder="1" applyAlignment="1">
      <alignment vertical="top" wrapText="1"/>
    </xf>
    <xf numFmtId="0" fontId="55" fillId="34" borderId="0" xfId="0" applyFont="1" applyFill="1" applyAlignment="1">
      <alignment vertical="top" wrapText="1"/>
    </xf>
    <xf numFmtId="0" fontId="55" fillId="34" borderId="0" xfId="0" applyFont="1" applyFill="1" applyAlignment="1">
      <alignment vertical="top"/>
    </xf>
    <xf numFmtId="0" fontId="59" fillId="34" borderId="0" xfId="0" applyFont="1" applyFill="1" applyAlignment="1">
      <alignment vertical="top"/>
    </xf>
    <xf numFmtId="0" fontId="55" fillId="34" borderId="88" xfId="0" applyFont="1" applyFill="1" applyBorder="1" applyAlignment="1">
      <alignment vertical="top" wrapText="1"/>
    </xf>
    <xf numFmtId="3" fontId="59" fillId="34" borderId="43" xfId="0" applyNumberFormat="1" applyFont="1" applyFill="1" applyBorder="1" applyAlignment="1">
      <alignment vertical="top"/>
    </xf>
    <xf numFmtId="0" fontId="59" fillId="34" borderId="36" xfId="0" applyFont="1" applyFill="1" applyBorder="1" applyAlignment="1">
      <alignment vertical="top" wrapText="1"/>
    </xf>
    <xf numFmtId="166" fontId="58" fillId="34" borderId="43" xfId="2" applyFont="1" applyFill="1" applyBorder="1" applyAlignment="1">
      <alignment vertical="top" wrapText="1"/>
    </xf>
    <xf numFmtId="0" fontId="59" fillId="34" borderId="37" xfId="0" applyFont="1" applyFill="1" applyBorder="1" applyAlignment="1">
      <alignment horizontal="center" vertical="top"/>
    </xf>
    <xf numFmtId="0" fontId="59" fillId="34" borderId="38" xfId="0" applyFont="1" applyFill="1" applyBorder="1" applyAlignment="1">
      <alignment horizontal="center" vertical="top"/>
    </xf>
    <xf numFmtId="0" fontId="59" fillId="34" borderId="39" xfId="0" applyFont="1" applyFill="1" applyBorder="1" applyAlignment="1">
      <alignment horizontal="center" vertical="top"/>
    </xf>
    <xf numFmtId="0" fontId="55" fillId="34" borderId="36" xfId="0" applyFont="1" applyFill="1" applyBorder="1" applyAlignment="1">
      <alignment vertical="top" wrapText="1"/>
    </xf>
    <xf numFmtId="0" fontId="59" fillId="34" borderId="17" xfId="0" applyFont="1" applyFill="1" applyBorder="1" applyAlignment="1">
      <alignment vertical="top"/>
    </xf>
    <xf numFmtId="3" fontId="60" fillId="34" borderId="17" xfId="1" applyNumberFormat="1" applyFont="1" applyFill="1" applyBorder="1" applyAlignment="1">
      <alignment vertical="top"/>
    </xf>
    <xf numFmtId="0" fontId="57" fillId="34" borderId="0" xfId="0" applyFont="1" applyFill="1" applyAlignment="1">
      <alignment vertical="top"/>
    </xf>
    <xf numFmtId="0" fontId="54" fillId="34" borderId="0" xfId="0" applyFont="1" applyFill="1" applyBorder="1" applyAlignment="1">
      <alignment horizontal="center" vertical="top"/>
    </xf>
    <xf numFmtId="0" fontId="54" fillId="34" borderId="22" xfId="0" applyFont="1" applyFill="1" applyBorder="1" applyAlignment="1">
      <alignment horizontal="center" vertical="top"/>
    </xf>
    <xf numFmtId="0" fontId="57" fillId="34" borderId="36" xfId="0" applyFont="1" applyFill="1" applyBorder="1" applyAlignment="1">
      <alignment vertical="top"/>
    </xf>
    <xf numFmtId="14" fontId="57" fillId="34" borderId="10" xfId="0" applyNumberFormat="1" applyFont="1" applyFill="1" applyBorder="1" applyAlignment="1">
      <alignment vertical="top" wrapText="1"/>
    </xf>
    <xf numFmtId="0" fontId="57" fillId="34" borderId="43" xfId="0" applyFont="1" applyFill="1" applyBorder="1" applyAlignment="1">
      <alignment horizontal="left" vertical="top" wrapText="1"/>
    </xf>
    <xf numFmtId="0" fontId="57" fillId="34" borderId="43" xfId="0" applyFont="1" applyFill="1" applyBorder="1" applyAlignment="1">
      <alignment vertical="top" wrapText="1"/>
    </xf>
    <xf numFmtId="3" fontId="54" fillId="34" borderId="43" xfId="0" applyNumberFormat="1" applyFont="1" applyFill="1" applyBorder="1" applyAlignment="1">
      <alignment vertical="top" wrapText="1"/>
    </xf>
    <xf numFmtId="0" fontId="57" fillId="34" borderId="0" xfId="0" applyFont="1" applyFill="1" applyAlignment="1">
      <alignment vertical="top" wrapText="1"/>
    </xf>
    <xf numFmtId="0" fontId="57" fillId="34" borderId="43" xfId="0" applyFont="1" applyFill="1" applyBorder="1" applyAlignment="1">
      <alignment vertical="top"/>
    </xf>
    <xf numFmtId="3" fontId="54" fillId="34" borderId="43" xfId="0" applyNumberFormat="1" applyFont="1" applyFill="1" applyBorder="1" applyAlignment="1">
      <alignment vertical="top"/>
    </xf>
    <xf numFmtId="0" fontId="61" fillId="41" borderId="31" xfId="0" applyFont="1" applyFill="1" applyBorder="1" applyAlignment="1">
      <alignment horizontal="center" vertical="top" wrapText="1"/>
    </xf>
    <xf numFmtId="0" fontId="61" fillId="41" borderId="31" xfId="0" applyFont="1" applyFill="1" applyBorder="1" applyAlignment="1">
      <alignment vertical="top" wrapText="1"/>
    </xf>
    <xf numFmtId="4" fontId="61" fillId="41" borderId="31" xfId="0" applyNumberFormat="1" applyFont="1" applyFill="1" applyBorder="1" applyAlignment="1">
      <alignment horizontal="center" vertical="top" wrapText="1"/>
    </xf>
    <xf numFmtId="0" fontId="23" fillId="0" borderId="31" xfId="0" applyFont="1" applyBorder="1" applyAlignment="1">
      <alignment horizontal="center" vertical="top" wrapText="1"/>
    </xf>
    <xf numFmtId="0" fontId="20" fillId="0" borderId="31" xfId="0" applyFont="1" applyBorder="1" applyAlignment="1">
      <alignment vertical="top" wrapText="1"/>
    </xf>
    <xf numFmtId="0" fontId="23" fillId="0" borderId="31" xfId="0" applyFont="1" applyBorder="1" applyAlignment="1">
      <alignment vertical="top" wrapText="1"/>
    </xf>
    <xf numFmtId="0" fontId="20" fillId="34" borderId="31" xfId="0" applyFont="1" applyFill="1" applyBorder="1" applyAlignment="1">
      <alignment vertical="top" wrapText="1"/>
    </xf>
    <xf numFmtId="0" fontId="20" fillId="34" borderId="31" xfId="0" applyFont="1" applyFill="1" applyBorder="1" applyAlignment="1">
      <alignment horizontal="left" vertical="top" wrapText="1"/>
    </xf>
    <xf numFmtId="0" fontId="23" fillId="34" borderId="31" xfId="0" applyFont="1" applyFill="1" applyBorder="1" applyAlignment="1">
      <alignment vertical="top" wrapText="1"/>
    </xf>
    <xf numFmtId="0" fontId="23" fillId="34" borderId="31" xfId="0" applyFont="1" applyFill="1" applyBorder="1" applyAlignment="1">
      <alignment horizontal="center" vertical="top" wrapText="1"/>
    </xf>
    <xf numFmtId="9" fontId="23" fillId="34" borderId="31" xfId="0" applyNumberFormat="1" applyFont="1" applyFill="1" applyBorder="1" applyAlignment="1">
      <alignment horizontal="center" vertical="top" wrapText="1"/>
    </xf>
    <xf numFmtId="168" fontId="23" fillId="34" borderId="31" xfId="0" applyNumberFormat="1" applyFont="1" applyFill="1" applyBorder="1" applyAlignment="1">
      <alignment horizontal="center" vertical="top" wrapText="1"/>
    </xf>
    <xf numFmtId="0" fontId="20" fillId="34" borderId="31" xfId="0" applyFont="1" applyFill="1" applyBorder="1" applyAlignment="1">
      <alignment horizontal="center" vertical="top" wrapText="1"/>
    </xf>
    <xf numFmtId="9" fontId="23" fillId="0" borderId="31" xfId="0" applyNumberFormat="1" applyFont="1" applyBorder="1" applyAlignment="1">
      <alignment vertical="top" wrapText="1"/>
    </xf>
    <xf numFmtId="0" fontId="25" fillId="0" borderId="0" xfId="0" applyFont="1" applyAlignment="1">
      <alignment horizontal="center"/>
    </xf>
    <xf numFmtId="0" fontId="26" fillId="34" borderId="88" xfId="0" applyFont="1" applyFill="1" applyBorder="1" applyAlignment="1">
      <alignment horizontal="center" vertical="top" wrapText="1"/>
    </xf>
    <xf numFmtId="0" fontId="63" fillId="34" borderId="88" xfId="0" applyFont="1" applyFill="1" applyBorder="1" applyAlignment="1">
      <alignment horizontal="center" vertical="top" wrapText="1"/>
    </xf>
    <xf numFmtId="3" fontId="63" fillId="34" borderId="88" xfId="0" applyNumberFormat="1" applyFont="1" applyFill="1" applyBorder="1" applyAlignment="1">
      <alignment horizontal="center" vertical="top" wrapText="1"/>
    </xf>
    <xf numFmtId="0" fontId="63" fillId="34" borderId="88" xfId="0" applyFont="1" applyFill="1" applyBorder="1" applyAlignment="1">
      <alignment horizontal="left" vertical="top" wrapText="1"/>
    </xf>
    <xf numFmtId="0" fontId="25" fillId="34" borderId="88" xfId="0" applyFont="1" applyFill="1" applyBorder="1" applyAlignment="1">
      <alignment horizontal="center" vertical="top" wrapText="1"/>
    </xf>
    <xf numFmtId="14" fontId="25" fillId="34" borderId="10" xfId="0" applyNumberFormat="1" applyFont="1" applyFill="1" applyBorder="1" applyAlignment="1">
      <alignment vertical="top" wrapText="1"/>
    </xf>
    <xf numFmtId="0" fontId="25" fillId="34" borderId="88" xfId="0" applyFont="1" applyFill="1" applyBorder="1" applyAlignment="1">
      <alignment horizontal="center" vertical="top"/>
    </xf>
    <xf numFmtId="0" fontId="24" fillId="34" borderId="89" xfId="0" applyFont="1" applyFill="1" applyBorder="1" applyAlignment="1">
      <alignment vertical="top" wrapText="1"/>
    </xf>
    <xf numFmtId="3" fontId="25" fillId="34" borderId="88" xfId="0" applyNumberFormat="1" applyFont="1" applyFill="1" applyBorder="1" applyAlignment="1">
      <alignment vertical="top" wrapText="1"/>
    </xf>
    <xf numFmtId="0" fontId="25" fillId="34" borderId="0" xfId="0" applyFont="1" applyFill="1" applyAlignment="1">
      <alignment horizontal="center" vertical="top"/>
    </xf>
    <xf numFmtId="0" fontId="25" fillId="34" borderId="0" xfId="0" applyFont="1" applyFill="1" applyAlignment="1">
      <alignment vertical="top" wrapText="1"/>
    </xf>
    <xf numFmtId="0" fontId="26" fillId="34" borderId="88" xfId="0" applyFont="1" applyFill="1" applyBorder="1" applyAlignment="1">
      <alignment horizontal="center" vertical="top"/>
    </xf>
    <xf numFmtId="0" fontId="26" fillId="34" borderId="88" xfId="0" applyFont="1" applyFill="1" applyBorder="1" applyAlignment="1">
      <alignment horizontal="left" vertical="top" wrapText="1"/>
    </xf>
    <xf numFmtId="0" fontId="21" fillId="34" borderId="88" xfId="0" applyFont="1" applyFill="1" applyBorder="1" applyAlignment="1">
      <alignment horizontal="center" vertical="top" wrapText="1"/>
    </xf>
    <xf numFmtId="0" fontId="21" fillId="34" borderId="88" xfId="0" applyFont="1" applyFill="1" applyBorder="1" applyAlignment="1">
      <alignment horizontal="left" vertical="top" wrapText="1"/>
    </xf>
    <xf numFmtId="0" fontId="25" fillId="34" borderId="88" xfId="0" applyFont="1" applyFill="1" applyBorder="1" applyAlignment="1">
      <alignment horizontal="left"/>
    </xf>
    <xf numFmtId="0" fontId="21" fillId="34" borderId="89" xfId="0" applyFont="1" applyFill="1" applyBorder="1" applyAlignment="1">
      <alignment horizontal="center" vertical="top" wrapText="1"/>
    </xf>
    <xf numFmtId="0" fontId="20" fillId="34" borderId="89" xfId="0" applyFont="1" applyFill="1" applyBorder="1" applyAlignment="1">
      <alignment horizontal="center" vertical="top" wrapText="1"/>
    </xf>
    <xf numFmtId="0" fontId="20" fillId="34" borderId="88" xfId="0" applyFont="1" applyFill="1" applyBorder="1" applyAlignment="1">
      <alignment horizontal="center" vertical="top" wrapText="1"/>
    </xf>
    <xf numFmtId="167" fontId="48" fillId="34" borderId="53" xfId="1" applyFont="1" applyFill="1" applyBorder="1" applyAlignment="1">
      <alignment horizontal="center" vertical="top" wrapText="1"/>
    </xf>
    <xf numFmtId="43" fontId="21" fillId="34" borderId="88" xfId="0" applyNumberFormat="1" applyFont="1" applyFill="1" applyBorder="1" applyAlignment="1">
      <alignment horizontal="center" vertical="top" wrapText="1"/>
    </xf>
    <xf numFmtId="43" fontId="48" fillId="34" borderId="88" xfId="1" applyNumberFormat="1" applyFont="1" applyFill="1" applyBorder="1" applyAlignment="1">
      <alignment horizontal="center" vertical="top" wrapText="1"/>
    </xf>
    <xf numFmtId="43" fontId="26" fillId="34" borderId="88" xfId="0" applyNumberFormat="1" applyFont="1" applyFill="1" applyBorder="1" applyAlignment="1">
      <alignment vertical="top"/>
    </xf>
    <xf numFmtId="43" fontId="27" fillId="34" borderId="88" xfId="1" applyNumberFormat="1" applyFont="1" applyFill="1" applyBorder="1" applyAlignment="1">
      <alignment vertical="top"/>
    </xf>
    <xf numFmtId="43" fontId="25" fillId="34" borderId="88" xfId="0" applyNumberFormat="1" applyFont="1" applyFill="1" applyBorder="1" applyAlignment="1">
      <alignment vertical="top" wrapText="1"/>
    </xf>
    <xf numFmtId="43" fontId="26" fillId="34" borderId="88" xfId="0" applyNumberFormat="1" applyFont="1" applyFill="1" applyBorder="1" applyAlignment="1">
      <alignment vertical="top" wrapText="1"/>
    </xf>
    <xf numFmtId="43" fontId="27" fillId="34" borderId="88" xfId="1" applyNumberFormat="1" applyFont="1" applyFill="1" applyBorder="1" applyAlignment="1">
      <alignment horizontal="center" vertical="top"/>
    </xf>
    <xf numFmtId="0" fontId="26" fillId="34" borderId="88" xfId="0" applyFont="1" applyFill="1" applyBorder="1" applyAlignment="1">
      <alignment vertical="top" wrapText="1"/>
    </xf>
    <xf numFmtId="0" fontId="53" fillId="34" borderId="111" xfId="0" applyFont="1" applyFill="1" applyBorder="1" applyAlignment="1">
      <alignment horizontal="center" vertical="top" wrapText="1"/>
    </xf>
    <xf numFmtId="3" fontId="54" fillId="34" borderId="111" xfId="0" applyNumberFormat="1" applyFont="1" applyFill="1" applyBorder="1" applyAlignment="1">
      <alignment vertical="top" wrapText="1"/>
    </xf>
    <xf numFmtId="3" fontId="54" fillId="34" borderId="111" xfId="0" applyNumberFormat="1" applyFont="1" applyFill="1" applyBorder="1" applyAlignment="1">
      <alignment vertical="top"/>
    </xf>
    <xf numFmtId="3" fontId="59" fillId="34" borderId="111" xfId="0" applyNumberFormat="1" applyFont="1" applyFill="1" applyBorder="1" applyAlignment="1">
      <alignment vertical="top"/>
    </xf>
    <xf numFmtId="3" fontId="60" fillId="34" borderId="111" xfId="1" applyNumberFormat="1" applyFont="1" applyFill="1" applyBorder="1" applyAlignment="1">
      <alignment vertical="top"/>
    </xf>
    <xf numFmtId="0" fontId="59" fillId="34" borderId="94" xfId="0" applyFont="1" applyFill="1" applyBorder="1" applyAlignment="1">
      <alignment horizontal="center" vertical="top"/>
    </xf>
    <xf numFmtId="0" fontId="26" fillId="34" borderId="111" xfId="0" applyFont="1" applyFill="1" applyBorder="1" applyAlignment="1">
      <alignment horizontal="center" vertical="top"/>
    </xf>
    <xf numFmtId="0" fontId="63" fillId="34" borderId="111" xfId="0" applyFont="1" applyFill="1" applyBorder="1" applyAlignment="1">
      <alignment horizontal="center" vertical="top" wrapText="1"/>
    </xf>
    <xf numFmtId="3" fontId="27" fillId="34" borderId="111" xfId="1" applyNumberFormat="1" applyFont="1" applyFill="1" applyBorder="1" applyAlignment="1">
      <alignment vertical="top"/>
    </xf>
    <xf numFmtId="3" fontId="26" fillId="34" borderId="111" xfId="0" applyNumberFormat="1" applyFont="1" applyFill="1" applyBorder="1" applyAlignment="1">
      <alignment vertical="top"/>
    </xf>
    <xf numFmtId="3" fontId="27" fillId="34" borderId="111" xfId="1" applyNumberFormat="1" applyFont="1" applyFill="1" applyBorder="1" applyAlignment="1">
      <alignment horizontal="center" vertical="top"/>
    </xf>
    <xf numFmtId="0" fontId="34" fillId="0" borderId="0" xfId="0" applyFont="1"/>
    <xf numFmtId="0" fontId="26" fillId="34" borderId="88" xfId="0" applyFont="1" applyFill="1" applyBorder="1" applyAlignment="1">
      <alignment horizontal="center" vertical="top"/>
    </xf>
    <xf numFmtId="0" fontId="37" fillId="39" borderId="47" xfId="0" applyFont="1" applyFill="1" applyBorder="1" applyAlignment="1">
      <alignment horizontal="left" vertical="top"/>
    </xf>
    <xf numFmtId="0" fontId="37" fillId="39" borderId="48" xfId="0" applyFont="1" applyFill="1" applyBorder="1" applyAlignment="1">
      <alignment horizontal="left" vertical="top" wrapText="1"/>
    </xf>
    <xf numFmtId="0" fontId="39" fillId="39" borderId="47" xfId="0" applyFont="1" applyFill="1" applyBorder="1" applyAlignment="1">
      <alignment horizontal="left" vertical="top" wrapText="1"/>
    </xf>
    <xf numFmtId="0" fontId="37" fillId="39" borderId="47" xfId="0" applyFont="1" applyFill="1" applyBorder="1" applyAlignment="1">
      <alignment horizontal="left" vertical="top" wrapText="1"/>
    </xf>
    <xf numFmtId="0" fontId="37" fillId="39" borderId="47" xfId="0" applyFont="1" applyFill="1" applyBorder="1" applyAlignment="1">
      <alignment horizontal="left"/>
    </xf>
    <xf numFmtId="0" fontId="37" fillId="40" borderId="47" xfId="0" applyFont="1" applyFill="1" applyBorder="1" applyAlignment="1">
      <alignment vertical="top" wrapText="1"/>
    </xf>
    <xf numFmtId="0" fontId="37" fillId="40" borderId="47" xfId="0" applyFont="1" applyFill="1" applyBorder="1" applyAlignment="1">
      <alignment horizontal="justify" vertical="top" wrapText="1"/>
    </xf>
    <xf numFmtId="0" fontId="37" fillId="40" borderId="47" xfId="0" applyFont="1" applyFill="1" applyBorder="1" applyAlignment="1">
      <alignment horizontal="left" vertical="top" wrapText="1"/>
    </xf>
    <xf numFmtId="0" fontId="42" fillId="0" borderId="54" xfId="0" applyFont="1" applyFill="1" applyBorder="1" applyAlignment="1" applyProtection="1">
      <alignment horizontal="center" vertical="center"/>
    </xf>
    <xf numFmtId="0" fontId="42" fillId="0" borderId="55" xfId="0" applyFont="1" applyFill="1" applyBorder="1" applyAlignment="1" applyProtection="1">
      <alignment horizontal="center" vertical="center"/>
    </xf>
    <xf numFmtId="0" fontId="42" fillId="0" borderId="54" xfId="0" applyFont="1" applyFill="1" applyBorder="1" applyAlignment="1" applyProtection="1">
      <alignment horizontal="center" vertical="center" wrapText="1"/>
    </xf>
    <xf numFmtId="0" fontId="42" fillId="0" borderId="55" xfId="0" applyFont="1" applyFill="1" applyBorder="1" applyAlignment="1" applyProtection="1">
      <alignment horizontal="center" vertical="center" wrapText="1"/>
    </xf>
    <xf numFmtId="0" fontId="42" fillId="0" borderId="98" xfId="0" applyFont="1" applyFill="1" applyBorder="1" applyAlignment="1" applyProtection="1">
      <alignment horizontal="center" vertical="center" wrapText="1"/>
    </xf>
    <xf numFmtId="0" fontId="42" fillId="43" borderId="82" xfId="0" applyFont="1" applyFill="1" applyBorder="1" applyAlignment="1">
      <alignment horizontal="center" vertical="center" wrapText="1"/>
    </xf>
    <xf numFmtId="0" fontId="20" fillId="0" borderId="103" xfId="0" applyFont="1" applyBorder="1"/>
    <xf numFmtId="0" fontId="20" fillId="0" borderId="104" xfId="0" applyFont="1" applyBorder="1"/>
    <xf numFmtId="0" fontId="42" fillId="0" borderId="54" xfId="0" applyFont="1" applyFill="1" applyBorder="1" applyAlignment="1">
      <alignment horizontal="center" vertical="center"/>
    </xf>
    <xf numFmtId="0" fontId="42" fillId="0" borderId="55" xfId="0" applyFont="1" applyFill="1" applyBorder="1" applyAlignment="1">
      <alignment horizontal="center" vertical="center"/>
    </xf>
    <xf numFmtId="0" fontId="42" fillId="0" borderId="54" xfId="0" applyFont="1" applyFill="1" applyBorder="1" applyAlignment="1">
      <alignment horizontal="center" vertical="center" wrapText="1"/>
    </xf>
    <xf numFmtId="0" fontId="42" fillId="0" borderId="55" xfId="0" applyFont="1" applyFill="1" applyBorder="1" applyAlignment="1">
      <alignment horizontal="center" vertical="center" wrapText="1"/>
    </xf>
    <xf numFmtId="0" fontId="42" fillId="0" borderId="98" xfId="0" applyFont="1" applyFill="1" applyBorder="1" applyAlignment="1">
      <alignment horizontal="center" vertical="center" wrapText="1"/>
    </xf>
    <xf numFmtId="0" fontId="42" fillId="43" borderId="103" xfId="0" applyFont="1" applyFill="1" applyBorder="1" applyAlignment="1">
      <alignment horizontal="center" vertical="center" wrapText="1"/>
    </xf>
    <xf numFmtId="0" fontId="42" fillId="43" borderId="104" xfId="0" applyFont="1" applyFill="1" applyBorder="1" applyAlignment="1">
      <alignment horizontal="center" vertical="center" wrapText="1"/>
    </xf>
    <xf numFmtId="0" fontId="43" fillId="0" borderId="0" xfId="0" quotePrefix="1" applyFont="1" applyBorder="1" applyAlignment="1" applyProtection="1">
      <alignment horizontal="left" wrapText="1"/>
    </xf>
    <xf numFmtId="0" fontId="43" fillId="0" borderId="0" xfId="0" applyFont="1" applyBorder="1" applyAlignment="1" applyProtection="1">
      <alignment horizontal="left" wrapText="1"/>
    </xf>
    <xf numFmtId="0" fontId="43" fillId="0" borderId="0" xfId="0" applyFont="1" applyFill="1" applyBorder="1" applyAlignment="1" applyProtection="1">
      <alignment horizontal="left"/>
    </xf>
    <xf numFmtId="0" fontId="40" fillId="0" borderId="97" xfId="0" applyFont="1" applyFill="1" applyBorder="1" applyAlignment="1">
      <alignment horizontal="left" wrapText="1"/>
    </xf>
    <xf numFmtId="0" fontId="43" fillId="0" borderId="0" xfId="0" applyNumberFormat="1" applyFont="1" applyAlignment="1" applyProtection="1">
      <alignment horizontal="left" wrapText="1"/>
    </xf>
    <xf numFmtId="0" fontId="42" fillId="0" borderId="97" xfId="0" applyFont="1" applyFill="1" applyBorder="1" applyAlignment="1">
      <alignment horizontal="left" wrapText="1"/>
    </xf>
    <xf numFmtId="0" fontId="28" fillId="34" borderId="23" xfId="0" applyFont="1" applyFill="1" applyBorder="1" applyAlignment="1">
      <alignment horizontal="center" vertical="top" wrapText="1"/>
    </xf>
    <xf numFmtId="0" fontId="28" fillId="34" borderId="24" xfId="0" applyFont="1" applyFill="1" applyBorder="1" applyAlignment="1">
      <alignment horizontal="center" vertical="top" wrapText="1"/>
    </xf>
    <xf numFmtId="0" fontId="28" fillId="34" borderId="25" xfId="0" applyFont="1" applyFill="1" applyBorder="1" applyAlignment="1">
      <alignment horizontal="center" vertical="top" wrapText="1"/>
    </xf>
    <xf numFmtId="0" fontId="28" fillId="34" borderId="26" xfId="0" applyFont="1" applyFill="1" applyBorder="1" applyAlignment="1">
      <alignment horizontal="center" vertical="top" wrapText="1"/>
    </xf>
    <xf numFmtId="0" fontId="28" fillId="34" borderId="0" xfId="0" applyFont="1" applyFill="1" applyBorder="1" applyAlignment="1">
      <alignment horizontal="center" vertical="top" wrapText="1"/>
    </xf>
    <xf numFmtId="0" fontId="28" fillId="34" borderId="27" xfId="0" applyFont="1" applyFill="1" applyBorder="1" applyAlignment="1">
      <alignment horizontal="center" vertical="top" wrapText="1"/>
    </xf>
    <xf numFmtId="0" fontId="29" fillId="34" borderId="28" xfId="0" applyFont="1" applyFill="1" applyBorder="1" applyAlignment="1">
      <alignment horizontal="center" vertical="top" wrapText="1"/>
    </xf>
    <xf numFmtId="0" fontId="29" fillId="34" borderId="29" xfId="0" applyFont="1" applyFill="1" applyBorder="1" applyAlignment="1">
      <alignment horizontal="center" vertical="top" wrapText="1"/>
    </xf>
    <xf numFmtId="0" fontId="29" fillId="34" borderId="30" xfId="0" applyFont="1" applyFill="1" applyBorder="1" applyAlignment="1">
      <alignment horizontal="center" vertical="top" wrapText="1"/>
    </xf>
    <xf numFmtId="0" fontId="50" fillId="34" borderId="17" xfId="0" applyFont="1" applyFill="1" applyBorder="1" applyAlignment="1">
      <alignment horizontal="center" vertical="top" wrapText="1"/>
    </xf>
    <xf numFmtId="0" fontId="50" fillId="34" borderId="43" xfId="0" applyFont="1" applyFill="1" applyBorder="1" applyAlignment="1">
      <alignment horizontal="center" vertical="top" wrapText="1"/>
    </xf>
    <xf numFmtId="0" fontId="62" fillId="34" borderId="23" xfId="0" applyFont="1" applyFill="1" applyBorder="1" applyAlignment="1">
      <alignment horizontal="center" vertical="top" wrapText="1"/>
    </xf>
    <xf numFmtId="0" fontId="62" fillId="34" borderId="24" xfId="0" applyFont="1" applyFill="1" applyBorder="1" applyAlignment="1">
      <alignment horizontal="center" vertical="top" wrapText="1"/>
    </xf>
    <xf numFmtId="0" fontId="62" fillId="34" borderId="25" xfId="0" applyFont="1" applyFill="1" applyBorder="1" applyAlignment="1">
      <alignment horizontal="center" vertical="top" wrapText="1"/>
    </xf>
    <xf numFmtId="0" fontId="62" fillId="34" borderId="26" xfId="0" applyFont="1" applyFill="1" applyBorder="1" applyAlignment="1">
      <alignment horizontal="center" vertical="top" wrapText="1"/>
    </xf>
    <xf numFmtId="0" fontId="62" fillId="34" borderId="0" xfId="0" applyFont="1" applyFill="1" applyBorder="1" applyAlignment="1">
      <alignment horizontal="center" vertical="top" wrapText="1"/>
    </xf>
    <xf numFmtId="0" fontId="62" fillId="34" borderId="27" xfId="0" applyFont="1" applyFill="1" applyBorder="1" applyAlignment="1">
      <alignment horizontal="center" vertical="top" wrapText="1"/>
    </xf>
    <xf numFmtId="0" fontId="61" fillId="34" borderId="28" xfId="0" applyFont="1" applyFill="1" applyBorder="1" applyAlignment="1">
      <alignment horizontal="center" vertical="top" wrapText="1"/>
    </xf>
    <xf numFmtId="0" fontId="61" fillId="34" borderId="29" xfId="0" applyFont="1" applyFill="1" applyBorder="1" applyAlignment="1">
      <alignment horizontal="center" vertical="top" wrapText="1"/>
    </xf>
    <xf numFmtId="0" fontId="61" fillId="34" borderId="30" xfId="0" applyFont="1" applyFill="1" applyBorder="1" applyAlignment="1">
      <alignment horizontal="center" vertical="top" wrapText="1"/>
    </xf>
    <xf numFmtId="0" fontId="56" fillId="34" borderId="31" xfId="0" applyFont="1" applyFill="1" applyBorder="1" applyAlignment="1">
      <alignment horizontal="center" vertical="top" wrapText="1"/>
    </xf>
    <xf numFmtId="0" fontId="56" fillId="34" borderId="34" xfId="0" applyFont="1" applyFill="1" applyBorder="1" applyAlignment="1">
      <alignment horizontal="center" vertical="top" wrapText="1"/>
    </xf>
    <xf numFmtId="0" fontId="26" fillId="34" borderId="88" xfId="0" applyFont="1" applyFill="1" applyBorder="1" applyAlignment="1">
      <alignment horizontal="center" vertical="top"/>
    </xf>
    <xf numFmtId="0" fontId="26" fillId="34" borderId="90" xfId="0" applyFont="1" applyFill="1" applyBorder="1" applyAlignment="1">
      <alignment horizontal="center" vertical="top"/>
    </xf>
    <xf numFmtId="0" fontId="26" fillId="34" borderId="91" xfId="0" applyFont="1" applyFill="1" applyBorder="1" applyAlignment="1">
      <alignment horizontal="center" vertical="top"/>
    </xf>
    <xf numFmtId="0" fontId="55" fillId="34" borderId="90" xfId="0" applyFont="1" applyFill="1" applyBorder="1" applyAlignment="1">
      <alignment horizontal="center" vertical="top" wrapText="1"/>
    </xf>
    <xf numFmtId="0" fontId="55" fillId="34" borderId="91" xfId="0" applyFont="1" applyFill="1" applyBorder="1" applyAlignment="1">
      <alignment horizontal="center" vertical="top" wrapText="1"/>
    </xf>
    <xf numFmtId="0" fontId="55" fillId="34" borderId="41" xfId="0" applyFont="1" applyFill="1" applyBorder="1" applyAlignment="1">
      <alignment horizontal="center" vertical="top" wrapText="1"/>
    </xf>
    <xf numFmtId="0" fontId="59" fillId="34" borderId="21" xfId="0" applyFont="1" applyFill="1" applyBorder="1" applyAlignment="1">
      <alignment horizontal="left" vertical="top" wrapText="1"/>
    </xf>
    <xf numFmtId="0" fontId="59" fillId="34" borderId="18" xfId="0" applyFont="1" applyFill="1" applyBorder="1" applyAlignment="1">
      <alignment horizontal="left" vertical="top" wrapText="1"/>
    </xf>
    <xf numFmtId="0" fontId="59" fillId="34" borderId="94" xfId="0" applyFont="1" applyFill="1" applyBorder="1" applyAlignment="1">
      <alignment horizontal="left" vertical="top" wrapText="1"/>
    </xf>
    <xf numFmtId="0" fontId="59" fillId="34" borderId="19" xfId="0" applyFont="1" applyFill="1" applyBorder="1" applyAlignment="1">
      <alignment horizontal="left" vertical="top" wrapText="1"/>
    </xf>
    <xf numFmtId="0" fontId="59" fillId="34" borderId="15" xfId="0" applyFont="1" applyFill="1" applyBorder="1" applyAlignment="1">
      <alignment horizontal="left" vertical="top" wrapText="1"/>
    </xf>
    <xf numFmtId="0" fontId="59" fillId="34" borderId="16" xfId="0" applyFont="1" applyFill="1" applyBorder="1" applyAlignment="1">
      <alignment horizontal="left" vertical="top" wrapText="1"/>
    </xf>
    <xf numFmtId="0" fontId="59" fillId="34" borderId="20" xfId="0" applyFont="1" applyFill="1" applyBorder="1" applyAlignment="1">
      <alignment horizontal="left" vertical="top" wrapText="1"/>
    </xf>
    <xf numFmtId="0" fontId="26" fillId="34" borderId="93" xfId="0" applyFont="1" applyFill="1" applyBorder="1" applyAlignment="1">
      <alignment horizontal="center" vertical="top"/>
    </xf>
    <xf numFmtId="0" fontId="26" fillId="34" borderId="94" xfId="0" applyFont="1" applyFill="1" applyBorder="1" applyAlignment="1">
      <alignment horizontal="center" vertical="top"/>
    </xf>
    <xf numFmtId="0" fontId="26" fillId="34" borderId="95" xfId="0" applyFont="1" applyFill="1" applyBorder="1" applyAlignment="1">
      <alignment horizontal="center" vertical="top"/>
    </xf>
    <xf numFmtId="0" fontId="26" fillId="34" borderId="15" xfId="0" applyFont="1" applyFill="1" applyBorder="1" applyAlignment="1">
      <alignment horizontal="center" vertical="top"/>
    </xf>
    <xf numFmtId="0" fontId="26" fillId="34" borderId="16" xfId="0" applyFont="1" applyFill="1" applyBorder="1" applyAlignment="1">
      <alignment horizontal="center" vertical="top"/>
    </xf>
    <xf numFmtId="0" fontId="26" fillId="34" borderId="20" xfId="0" applyFont="1" applyFill="1" applyBorder="1" applyAlignment="1">
      <alignment horizontal="center" vertical="top"/>
    </xf>
    <xf numFmtId="0" fontId="26" fillId="34" borderId="90" xfId="0" applyFont="1" applyFill="1" applyBorder="1" applyAlignment="1">
      <alignment horizontal="center" vertical="center" wrapText="1"/>
    </xf>
    <xf numFmtId="0" fontId="26" fillId="34" borderId="91" xfId="0" applyFont="1" applyFill="1" applyBorder="1" applyAlignment="1">
      <alignment horizontal="center" vertical="center" wrapText="1"/>
    </xf>
    <xf numFmtId="0" fontId="26" fillId="34" borderId="41" xfId="0" applyFont="1" applyFill="1" applyBorder="1" applyAlignment="1">
      <alignment horizontal="center" vertical="center" wrapText="1"/>
    </xf>
    <xf numFmtId="0" fontId="54" fillId="34" borderId="21" xfId="0" applyFont="1" applyFill="1" applyBorder="1" applyAlignment="1">
      <alignment horizontal="center" vertical="top"/>
    </xf>
    <xf numFmtId="0" fontId="54" fillId="34" borderId="18" xfId="0" applyFont="1" applyFill="1" applyBorder="1" applyAlignment="1">
      <alignment horizontal="center" vertical="top"/>
    </xf>
    <xf numFmtId="0" fontId="54" fillId="34" borderId="94" xfId="0" applyFont="1" applyFill="1" applyBorder="1" applyAlignment="1">
      <alignment horizontal="center" vertical="top"/>
    </xf>
    <xf numFmtId="0" fontId="54" fillId="34" borderId="19" xfId="0" applyFont="1" applyFill="1" applyBorder="1" applyAlignment="1">
      <alignment horizontal="center" vertical="top"/>
    </xf>
    <xf numFmtId="0" fontId="54" fillId="34" borderId="15" xfId="0" applyFont="1" applyFill="1" applyBorder="1" applyAlignment="1">
      <alignment horizontal="center" vertical="top"/>
    </xf>
    <xf numFmtId="0" fontId="54" fillId="34" borderId="16" xfId="0" applyFont="1" applyFill="1" applyBorder="1" applyAlignment="1">
      <alignment horizontal="center" vertical="top"/>
    </xf>
    <xf numFmtId="0" fontId="54" fillId="34" borderId="20" xfId="0" applyFont="1" applyFill="1" applyBorder="1" applyAlignment="1">
      <alignment horizontal="center" vertical="top"/>
    </xf>
    <xf numFmtId="0" fontId="59" fillId="34" borderId="21" xfId="0" applyFont="1" applyFill="1" applyBorder="1" applyAlignment="1">
      <alignment horizontal="left" vertical="top"/>
    </xf>
    <xf numFmtId="0" fontId="59" fillId="34" borderId="18" xfId="0" applyFont="1" applyFill="1" applyBorder="1" applyAlignment="1">
      <alignment horizontal="left" vertical="top"/>
    </xf>
    <xf numFmtId="0" fontId="59" fillId="34" borderId="94" xfId="0" applyFont="1" applyFill="1" applyBorder="1" applyAlignment="1">
      <alignment horizontal="left" vertical="top"/>
    </xf>
    <xf numFmtId="0" fontId="59" fillId="34" borderId="19" xfId="0" applyFont="1" applyFill="1" applyBorder="1" applyAlignment="1">
      <alignment horizontal="left" vertical="top"/>
    </xf>
    <xf numFmtId="0" fontId="59" fillId="34" borderId="15" xfId="0" applyFont="1" applyFill="1" applyBorder="1" applyAlignment="1">
      <alignment horizontal="left" vertical="top"/>
    </xf>
    <xf numFmtId="0" fontId="59" fillId="34" borderId="16" xfId="0" applyFont="1" applyFill="1" applyBorder="1" applyAlignment="1">
      <alignment horizontal="left" vertical="top"/>
    </xf>
    <xf numFmtId="0" fontId="59" fillId="34" borderId="20" xfId="0" applyFont="1" applyFill="1" applyBorder="1" applyAlignment="1">
      <alignment horizontal="left" vertical="top"/>
    </xf>
    <xf numFmtId="0" fontId="34" fillId="38" borderId="11" xfId="0" applyFont="1" applyFill="1" applyBorder="1" applyAlignment="1">
      <alignment horizontal="center" vertical="top"/>
    </xf>
    <xf numFmtId="0" fontId="16" fillId="38" borderId="41" xfId="0" applyFont="1" applyFill="1" applyBorder="1" applyAlignment="1">
      <alignment horizontal="center" vertical="top"/>
    </xf>
    <xf numFmtId="0" fontId="35" fillId="38" borderId="42" xfId="0" applyFont="1" applyFill="1" applyBorder="1" applyAlignment="1">
      <alignment horizontal="left" vertical="top"/>
    </xf>
    <xf numFmtId="0" fontId="35" fillId="38" borderId="14" xfId="0" applyFont="1" applyFill="1" applyBorder="1" applyAlignment="1">
      <alignment horizontal="left" vertical="top"/>
    </xf>
    <xf numFmtId="0" fontId="36" fillId="38" borderId="42" xfId="0" applyFont="1" applyFill="1" applyBorder="1" applyAlignment="1">
      <alignment vertical="top" wrapText="1"/>
    </xf>
    <xf numFmtId="0" fontId="0" fillId="38" borderId="14" xfId="0" applyFill="1" applyBorder="1" applyAlignment="1">
      <alignment vertical="top" wrapText="1"/>
    </xf>
    <xf numFmtId="0" fontId="25" fillId="34" borderId="111" xfId="0" applyFont="1" applyFill="1" applyBorder="1" applyAlignment="1">
      <alignment vertical="top" wrapText="1"/>
    </xf>
    <xf numFmtId="0" fontId="57" fillId="34" borderId="88" xfId="0" applyFont="1" applyFill="1" applyBorder="1" applyAlignment="1">
      <alignment horizontal="center" vertical="top"/>
    </xf>
    <xf numFmtId="0" fontId="57" fillId="34" borderId="88" xfId="0" applyFont="1" applyFill="1" applyBorder="1" applyAlignment="1">
      <alignment vertical="top" wrapText="1"/>
    </xf>
    <xf numFmtId="0" fontId="54" fillId="34" borderId="88" xfId="0" applyFont="1" applyFill="1" applyBorder="1" applyAlignment="1">
      <alignment vertical="top"/>
    </xf>
    <xf numFmtId="3" fontId="54" fillId="34" borderId="88" xfId="1" applyNumberFormat="1" applyFont="1" applyFill="1" applyBorder="1" applyAlignment="1">
      <alignment vertical="top"/>
    </xf>
    <xf numFmtId="3" fontId="54" fillId="34" borderId="111" xfId="1" applyNumberFormat="1" applyFont="1" applyFill="1" applyBorder="1" applyAlignment="1">
      <alignment vertical="top"/>
    </xf>
    <xf numFmtId="0" fontId="57" fillId="34" borderId="90" xfId="0" applyFont="1" applyFill="1" applyBorder="1" applyAlignment="1">
      <alignment horizontal="center" vertical="top" wrapText="1"/>
    </xf>
    <xf numFmtId="0" fontId="57" fillId="34" borderId="91" xfId="0" applyFont="1" applyFill="1" applyBorder="1" applyAlignment="1">
      <alignment horizontal="center" vertical="top" wrapText="1"/>
    </xf>
    <xf numFmtId="0" fontId="57" fillId="34" borderId="41" xfId="0" applyFont="1" applyFill="1" applyBorder="1" applyAlignment="1">
      <alignment horizontal="center" vertical="top" wrapText="1"/>
    </xf>
    <xf numFmtId="0" fontId="57" fillId="34" borderId="0" xfId="0" applyFont="1" applyFill="1"/>
  </cellXfs>
  <cellStyles count="225">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3 2" xfId="44" xr:uid="{00000000-0005-0000-0000-000015000000}"/>
    <cellStyle name="Accent3 3" xfId="45" xr:uid="{00000000-0005-0000-0000-000016000000}"/>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1" builtinId="3"/>
    <cellStyle name="Comma 123 3" xfId="46" xr:uid="{00000000-0005-0000-0000-00001E000000}"/>
    <cellStyle name="Comma 2" xfId="47" xr:uid="{00000000-0005-0000-0000-00001F000000}"/>
    <cellStyle name="Comma 2 10" xfId="48" xr:uid="{00000000-0005-0000-0000-000020000000}"/>
    <cellStyle name="Comma 2 11" xfId="49" xr:uid="{00000000-0005-0000-0000-000021000000}"/>
    <cellStyle name="Comma 2 12" xfId="50" xr:uid="{00000000-0005-0000-0000-000022000000}"/>
    <cellStyle name="Comma 2 13" xfId="51" xr:uid="{00000000-0005-0000-0000-000023000000}"/>
    <cellStyle name="Comma 2 14" xfId="52" xr:uid="{00000000-0005-0000-0000-000024000000}"/>
    <cellStyle name="Comma 2 15" xfId="53" xr:uid="{00000000-0005-0000-0000-000025000000}"/>
    <cellStyle name="Comma 2 16" xfId="54" xr:uid="{00000000-0005-0000-0000-000026000000}"/>
    <cellStyle name="Comma 2 17" xfId="55" xr:uid="{00000000-0005-0000-0000-000027000000}"/>
    <cellStyle name="Comma 2 18" xfId="56" xr:uid="{00000000-0005-0000-0000-000028000000}"/>
    <cellStyle name="Comma 2 19" xfId="57" xr:uid="{00000000-0005-0000-0000-000029000000}"/>
    <cellStyle name="Comma 2 2" xfId="58" xr:uid="{00000000-0005-0000-0000-00002A000000}"/>
    <cellStyle name="Comma 2 20" xfId="59" xr:uid="{00000000-0005-0000-0000-00002B000000}"/>
    <cellStyle name="Comma 2 21" xfId="60" xr:uid="{00000000-0005-0000-0000-00002C000000}"/>
    <cellStyle name="Comma 2 22" xfId="61" xr:uid="{00000000-0005-0000-0000-00002D000000}"/>
    <cellStyle name="Comma 2 23" xfId="62" xr:uid="{00000000-0005-0000-0000-00002E000000}"/>
    <cellStyle name="Comma 2 24" xfId="63" xr:uid="{00000000-0005-0000-0000-00002F000000}"/>
    <cellStyle name="Comma 2 25" xfId="64" xr:uid="{00000000-0005-0000-0000-000030000000}"/>
    <cellStyle name="Comma 2 26" xfId="65" xr:uid="{00000000-0005-0000-0000-000031000000}"/>
    <cellStyle name="Comma 2 27" xfId="66" xr:uid="{00000000-0005-0000-0000-000032000000}"/>
    <cellStyle name="Comma 2 28" xfId="67" xr:uid="{00000000-0005-0000-0000-000033000000}"/>
    <cellStyle name="Comma 2 29" xfId="68" xr:uid="{00000000-0005-0000-0000-000034000000}"/>
    <cellStyle name="Comma 2 3" xfId="69" xr:uid="{00000000-0005-0000-0000-000035000000}"/>
    <cellStyle name="Comma 2 30" xfId="70" xr:uid="{00000000-0005-0000-0000-000036000000}"/>
    <cellStyle name="Comma 2 31" xfId="71" xr:uid="{00000000-0005-0000-0000-000037000000}"/>
    <cellStyle name="Comma 2 32" xfId="72" xr:uid="{00000000-0005-0000-0000-000038000000}"/>
    <cellStyle name="Comma 2 33" xfId="73" xr:uid="{00000000-0005-0000-0000-000039000000}"/>
    <cellStyle name="Comma 2 34" xfId="74" xr:uid="{00000000-0005-0000-0000-00003A000000}"/>
    <cellStyle name="Comma 2 35" xfId="75" xr:uid="{00000000-0005-0000-0000-00003B000000}"/>
    <cellStyle name="Comma 2 36" xfId="76" xr:uid="{00000000-0005-0000-0000-00003C000000}"/>
    <cellStyle name="Comma 2 37" xfId="77" xr:uid="{00000000-0005-0000-0000-00003D000000}"/>
    <cellStyle name="Comma 2 38" xfId="78" xr:uid="{00000000-0005-0000-0000-00003E000000}"/>
    <cellStyle name="Comma 2 39" xfId="79" xr:uid="{00000000-0005-0000-0000-00003F000000}"/>
    <cellStyle name="Comma 2 4" xfId="80" xr:uid="{00000000-0005-0000-0000-000040000000}"/>
    <cellStyle name="Comma 2 5" xfId="81" xr:uid="{00000000-0005-0000-0000-000041000000}"/>
    <cellStyle name="Comma 2 6" xfId="82" xr:uid="{00000000-0005-0000-0000-000042000000}"/>
    <cellStyle name="Comma 2 7" xfId="83" xr:uid="{00000000-0005-0000-0000-000043000000}"/>
    <cellStyle name="Comma 2 8" xfId="84" xr:uid="{00000000-0005-0000-0000-000044000000}"/>
    <cellStyle name="Comma 2 9" xfId="85" xr:uid="{00000000-0005-0000-0000-000045000000}"/>
    <cellStyle name="Comma 25" xfId="86" xr:uid="{00000000-0005-0000-0000-000046000000}"/>
    <cellStyle name="Comma 3" xfId="87" xr:uid="{00000000-0005-0000-0000-000047000000}"/>
    <cellStyle name="Comma 3 2" xfId="88" xr:uid="{00000000-0005-0000-0000-000048000000}"/>
    <cellStyle name="Comma 8" xfId="89" xr:uid="{00000000-0005-0000-0000-000049000000}"/>
    <cellStyle name="Currency" xfId="2" builtinId="4"/>
    <cellStyle name="Currency 2" xfId="90" xr:uid="{00000000-0005-0000-0000-00004B000000}"/>
    <cellStyle name="Currency 2 2" xfId="91" xr:uid="{00000000-0005-0000-0000-00004C000000}"/>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10" xfId="92" xr:uid="{00000000-0005-0000-0000-000057000000}"/>
    <cellStyle name="Normal 11" xfId="93" xr:uid="{00000000-0005-0000-0000-000058000000}"/>
    <cellStyle name="Normal 12" xfId="94" xr:uid="{00000000-0005-0000-0000-000059000000}"/>
    <cellStyle name="Normal 13" xfId="95" xr:uid="{00000000-0005-0000-0000-00005A000000}"/>
    <cellStyle name="Normal 14" xfId="96" xr:uid="{00000000-0005-0000-0000-00005B000000}"/>
    <cellStyle name="Normal 15" xfId="97" xr:uid="{00000000-0005-0000-0000-00005C000000}"/>
    <cellStyle name="Normal 16" xfId="98" xr:uid="{00000000-0005-0000-0000-00005D000000}"/>
    <cellStyle name="Normal 17" xfId="99" xr:uid="{00000000-0005-0000-0000-00005E000000}"/>
    <cellStyle name="Normal 18" xfId="100" xr:uid="{00000000-0005-0000-0000-00005F000000}"/>
    <cellStyle name="Normal 19" xfId="101" xr:uid="{00000000-0005-0000-0000-000060000000}"/>
    <cellStyle name="Normal 2" xfId="102" xr:uid="{00000000-0005-0000-0000-000061000000}"/>
    <cellStyle name="Normal 2 10" xfId="103" xr:uid="{00000000-0005-0000-0000-000062000000}"/>
    <cellStyle name="Normal 2 11" xfId="104" xr:uid="{00000000-0005-0000-0000-000063000000}"/>
    <cellStyle name="Normal 2 12" xfId="105" xr:uid="{00000000-0005-0000-0000-000064000000}"/>
    <cellStyle name="Normal 2 13" xfId="106" xr:uid="{00000000-0005-0000-0000-000065000000}"/>
    <cellStyle name="Normal 2 14" xfId="107" xr:uid="{00000000-0005-0000-0000-000066000000}"/>
    <cellStyle name="Normal 2 15" xfId="108" xr:uid="{00000000-0005-0000-0000-000067000000}"/>
    <cellStyle name="Normal 2 16" xfId="109" xr:uid="{00000000-0005-0000-0000-000068000000}"/>
    <cellStyle name="Normal 2 17" xfId="110" xr:uid="{00000000-0005-0000-0000-000069000000}"/>
    <cellStyle name="Normal 2 18" xfId="111" xr:uid="{00000000-0005-0000-0000-00006A000000}"/>
    <cellStyle name="Normal 2 19" xfId="112" xr:uid="{00000000-0005-0000-0000-00006B000000}"/>
    <cellStyle name="Normal 2 2" xfId="113" xr:uid="{00000000-0005-0000-0000-00006C000000}"/>
    <cellStyle name="Normal 2 20" xfId="114" xr:uid="{00000000-0005-0000-0000-00006D000000}"/>
    <cellStyle name="Normal 2 21" xfId="115" xr:uid="{00000000-0005-0000-0000-00006E000000}"/>
    <cellStyle name="Normal 2 22" xfId="116" xr:uid="{00000000-0005-0000-0000-00006F000000}"/>
    <cellStyle name="Normal 2 23" xfId="117" xr:uid="{00000000-0005-0000-0000-000070000000}"/>
    <cellStyle name="Normal 2 24" xfId="118" xr:uid="{00000000-0005-0000-0000-000071000000}"/>
    <cellStyle name="Normal 2 25" xfId="119" xr:uid="{00000000-0005-0000-0000-000072000000}"/>
    <cellStyle name="Normal 2 26" xfId="120" xr:uid="{00000000-0005-0000-0000-000073000000}"/>
    <cellStyle name="Normal 2 27" xfId="121" xr:uid="{00000000-0005-0000-0000-000074000000}"/>
    <cellStyle name="Normal 2 28" xfId="122" xr:uid="{00000000-0005-0000-0000-000075000000}"/>
    <cellStyle name="Normal 2 29" xfId="123" xr:uid="{00000000-0005-0000-0000-000076000000}"/>
    <cellStyle name="Normal 2 3" xfId="124" xr:uid="{00000000-0005-0000-0000-000077000000}"/>
    <cellStyle name="Normal 2 30" xfId="125" xr:uid="{00000000-0005-0000-0000-000078000000}"/>
    <cellStyle name="Normal 2 4" xfId="126" xr:uid="{00000000-0005-0000-0000-000079000000}"/>
    <cellStyle name="Normal 2 5" xfId="127" xr:uid="{00000000-0005-0000-0000-00007A000000}"/>
    <cellStyle name="Normal 2 6" xfId="128" xr:uid="{00000000-0005-0000-0000-00007B000000}"/>
    <cellStyle name="Normal 2 7" xfId="129" xr:uid="{00000000-0005-0000-0000-00007C000000}"/>
    <cellStyle name="Normal 2 8" xfId="130" xr:uid="{00000000-0005-0000-0000-00007D000000}"/>
    <cellStyle name="Normal 2 9" xfId="131" xr:uid="{00000000-0005-0000-0000-00007E000000}"/>
    <cellStyle name="Normal 20" xfId="132" xr:uid="{00000000-0005-0000-0000-00007F000000}"/>
    <cellStyle name="Normal 21" xfId="133" xr:uid="{00000000-0005-0000-0000-000080000000}"/>
    <cellStyle name="Normal 22" xfId="134" xr:uid="{00000000-0005-0000-0000-000081000000}"/>
    <cellStyle name="Normal 23" xfId="135" xr:uid="{00000000-0005-0000-0000-000082000000}"/>
    <cellStyle name="Normal 24" xfId="136" xr:uid="{00000000-0005-0000-0000-000083000000}"/>
    <cellStyle name="Normal 25" xfId="137" xr:uid="{00000000-0005-0000-0000-000084000000}"/>
    <cellStyle name="Normal 26" xfId="138" xr:uid="{00000000-0005-0000-0000-000085000000}"/>
    <cellStyle name="Normal 27" xfId="139" xr:uid="{00000000-0005-0000-0000-000086000000}"/>
    <cellStyle name="Normal 28" xfId="140" xr:uid="{00000000-0005-0000-0000-000087000000}"/>
    <cellStyle name="Normal 29" xfId="141" xr:uid="{00000000-0005-0000-0000-000088000000}"/>
    <cellStyle name="Normal 3" xfId="142" xr:uid="{00000000-0005-0000-0000-000089000000}"/>
    <cellStyle name="Normal 30" xfId="143" xr:uid="{00000000-0005-0000-0000-00008A000000}"/>
    <cellStyle name="Normal 31" xfId="144" xr:uid="{00000000-0005-0000-0000-00008B000000}"/>
    <cellStyle name="Normal 32" xfId="145" xr:uid="{00000000-0005-0000-0000-00008C000000}"/>
    <cellStyle name="Normal 33" xfId="146" xr:uid="{00000000-0005-0000-0000-00008D000000}"/>
    <cellStyle name="Normal 34" xfId="147" xr:uid="{00000000-0005-0000-0000-00008E000000}"/>
    <cellStyle name="Normal 35" xfId="148" xr:uid="{00000000-0005-0000-0000-00008F000000}"/>
    <cellStyle name="Normal 36" xfId="149" xr:uid="{00000000-0005-0000-0000-000090000000}"/>
    <cellStyle name="Normal 37" xfId="150" xr:uid="{00000000-0005-0000-0000-000091000000}"/>
    <cellStyle name="Normal 38" xfId="151" xr:uid="{00000000-0005-0000-0000-000092000000}"/>
    <cellStyle name="Normal 39" xfId="152" xr:uid="{00000000-0005-0000-0000-000093000000}"/>
    <cellStyle name="Normal 4" xfId="153" xr:uid="{00000000-0005-0000-0000-000094000000}"/>
    <cellStyle name="Normal 42" xfId="154" xr:uid="{00000000-0005-0000-0000-000095000000}"/>
    <cellStyle name="Normal 44" xfId="155" xr:uid="{00000000-0005-0000-0000-000096000000}"/>
    <cellStyle name="Normal 45" xfId="156" xr:uid="{00000000-0005-0000-0000-000097000000}"/>
    <cellStyle name="Normal 46" xfId="157" xr:uid="{00000000-0005-0000-0000-000098000000}"/>
    <cellStyle name="Normal 49" xfId="158" xr:uid="{00000000-0005-0000-0000-000099000000}"/>
    <cellStyle name="Normal 5" xfId="159" xr:uid="{00000000-0005-0000-0000-00009A000000}"/>
    <cellStyle name="Normal 50" xfId="160" xr:uid="{00000000-0005-0000-0000-00009B000000}"/>
    <cellStyle name="Normal 51" xfId="161" xr:uid="{00000000-0005-0000-0000-00009C000000}"/>
    <cellStyle name="Normal 52" xfId="162" xr:uid="{00000000-0005-0000-0000-00009D000000}"/>
    <cellStyle name="Normal 53" xfId="163" xr:uid="{00000000-0005-0000-0000-00009E000000}"/>
    <cellStyle name="Normal 54" xfId="164" xr:uid="{00000000-0005-0000-0000-00009F000000}"/>
    <cellStyle name="Normal 55" xfId="165" xr:uid="{00000000-0005-0000-0000-0000A0000000}"/>
    <cellStyle name="Normal 57" xfId="166" xr:uid="{00000000-0005-0000-0000-0000A1000000}"/>
    <cellStyle name="Normal 58" xfId="167" xr:uid="{00000000-0005-0000-0000-0000A2000000}"/>
    <cellStyle name="Normal 59" xfId="168" xr:uid="{00000000-0005-0000-0000-0000A3000000}"/>
    <cellStyle name="Normal 6" xfId="169" xr:uid="{00000000-0005-0000-0000-0000A4000000}"/>
    <cellStyle name="Normal 60" xfId="170" xr:uid="{00000000-0005-0000-0000-0000A5000000}"/>
    <cellStyle name="Normal 62" xfId="171" xr:uid="{00000000-0005-0000-0000-0000A6000000}"/>
    <cellStyle name="Normal 63" xfId="172" xr:uid="{00000000-0005-0000-0000-0000A7000000}"/>
    <cellStyle name="Normal 64" xfId="173" xr:uid="{00000000-0005-0000-0000-0000A8000000}"/>
    <cellStyle name="Normal 65" xfId="174" xr:uid="{00000000-0005-0000-0000-0000A9000000}"/>
    <cellStyle name="Normal 66" xfId="175" xr:uid="{00000000-0005-0000-0000-0000AA000000}"/>
    <cellStyle name="Normal 68" xfId="176" xr:uid="{00000000-0005-0000-0000-0000AB000000}"/>
    <cellStyle name="Normal 7" xfId="177" xr:uid="{00000000-0005-0000-0000-0000AC000000}"/>
    <cellStyle name="Normal 72" xfId="178" xr:uid="{00000000-0005-0000-0000-0000AD000000}"/>
    <cellStyle name="Normal 73" xfId="179" xr:uid="{00000000-0005-0000-0000-0000AE000000}"/>
    <cellStyle name="Normal 74" xfId="180" xr:uid="{00000000-0005-0000-0000-0000AF000000}"/>
    <cellStyle name="Normal 76" xfId="181" xr:uid="{00000000-0005-0000-0000-0000B0000000}"/>
    <cellStyle name="Normal 79" xfId="182" xr:uid="{00000000-0005-0000-0000-0000B1000000}"/>
    <cellStyle name="Normal 8" xfId="183" xr:uid="{00000000-0005-0000-0000-0000B2000000}"/>
    <cellStyle name="Normal 80" xfId="184" xr:uid="{00000000-0005-0000-0000-0000B3000000}"/>
    <cellStyle name="Normal 81" xfId="185" xr:uid="{00000000-0005-0000-0000-0000B4000000}"/>
    <cellStyle name="Normal 82" xfId="186" xr:uid="{00000000-0005-0000-0000-0000B5000000}"/>
    <cellStyle name="Normal 83" xfId="187" xr:uid="{00000000-0005-0000-0000-0000B6000000}"/>
    <cellStyle name="Normal 84" xfId="188" xr:uid="{00000000-0005-0000-0000-0000B7000000}"/>
    <cellStyle name="Normal 85" xfId="189" xr:uid="{00000000-0005-0000-0000-0000B8000000}"/>
    <cellStyle name="Normal 86" xfId="190" xr:uid="{00000000-0005-0000-0000-0000B9000000}"/>
    <cellStyle name="Normal 89" xfId="191" xr:uid="{00000000-0005-0000-0000-0000BA000000}"/>
    <cellStyle name="Normal 9" xfId="192" xr:uid="{00000000-0005-0000-0000-0000BB000000}"/>
    <cellStyle name="Normal 90" xfId="193" xr:uid="{00000000-0005-0000-0000-0000BC000000}"/>
    <cellStyle name="Normal 94" xfId="194" xr:uid="{00000000-0005-0000-0000-0000BD000000}"/>
    <cellStyle name="Note" xfId="17" builtinId="10" customBuiltin="1"/>
    <cellStyle name="Output" xfId="12" builtinId="21" customBuiltin="1"/>
    <cellStyle name="Percent" xfId="224" builtinId="5"/>
    <cellStyle name="Percent 10" xfId="195" xr:uid="{00000000-0005-0000-0000-0000C1000000}"/>
    <cellStyle name="Percent 11" xfId="196" xr:uid="{00000000-0005-0000-0000-0000C2000000}"/>
    <cellStyle name="Percent 12" xfId="197" xr:uid="{00000000-0005-0000-0000-0000C3000000}"/>
    <cellStyle name="Percent 13" xfId="198" xr:uid="{00000000-0005-0000-0000-0000C4000000}"/>
    <cellStyle name="Percent 14" xfId="199" xr:uid="{00000000-0005-0000-0000-0000C5000000}"/>
    <cellStyle name="Percent 15" xfId="200" xr:uid="{00000000-0005-0000-0000-0000C6000000}"/>
    <cellStyle name="Percent 16" xfId="201" xr:uid="{00000000-0005-0000-0000-0000C7000000}"/>
    <cellStyle name="Percent 17" xfId="202" xr:uid="{00000000-0005-0000-0000-0000C8000000}"/>
    <cellStyle name="Percent 18" xfId="203" xr:uid="{00000000-0005-0000-0000-0000C9000000}"/>
    <cellStyle name="Percent 19" xfId="204" xr:uid="{00000000-0005-0000-0000-0000CA000000}"/>
    <cellStyle name="Percent 2" xfId="205" xr:uid="{00000000-0005-0000-0000-0000CB000000}"/>
    <cellStyle name="Percent 20" xfId="206" xr:uid="{00000000-0005-0000-0000-0000CC000000}"/>
    <cellStyle name="Percent 21" xfId="207" xr:uid="{00000000-0005-0000-0000-0000CD000000}"/>
    <cellStyle name="Percent 22" xfId="208" xr:uid="{00000000-0005-0000-0000-0000CE000000}"/>
    <cellStyle name="Percent 23" xfId="209" xr:uid="{00000000-0005-0000-0000-0000CF000000}"/>
    <cellStyle name="Percent 24" xfId="210" xr:uid="{00000000-0005-0000-0000-0000D0000000}"/>
    <cellStyle name="Percent 25" xfId="211" xr:uid="{00000000-0005-0000-0000-0000D1000000}"/>
    <cellStyle name="Percent 26" xfId="212" xr:uid="{00000000-0005-0000-0000-0000D2000000}"/>
    <cellStyle name="Percent 27" xfId="213" xr:uid="{00000000-0005-0000-0000-0000D3000000}"/>
    <cellStyle name="Percent 28" xfId="214" xr:uid="{00000000-0005-0000-0000-0000D4000000}"/>
    <cellStyle name="Percent 29" xfId="215" xr:uid="{00000000-0005-0000-0000-0000D5000000}"/>
    <cellStyle name="Percent 3" xfId="216" xr:uid="{00000000-0005-0000-0000-0000D6000000}"/>
    <cellStyle name="Percent 30" xfId="217" xr:uid="{00000000-0005-0000-0000-0000D7000000}"/>
    <cellStyle name="Percent 4" xfId="218" xr:uid="{00000000-0005-0000-0000-0000D8000000}"/>
    <cellStyle name="Percent 5" xfId="219" xr:uid="{00000000-0005-0000-0000-0000D9000000}"/>
    <cellStyle name="Percent 6" xfId="220" xr:uid="{00000000-0005-0000-0000-0000DA000000}"/>
    <cellStyle name="Percent 7" xfId="221" xr:uid="{00000000-0005-0000-0000-0000DB000000}"/>
    <cellStyle name="Percent 8" xfId="222" xr:uid="{00000000-0005-0000-0000-0000DC000000}"/>
    <cellStyle name="Percent 9" xfId="223" xr:uid="{00000000-0005-0000-0000-0000DD000000}"/>
    <cellStyle name="Title" xfId="3" builtinId="15" customBuiltin="1"/>
    <cellStyle name="Total" xfId="19" builtinId="25" customBuiltin="1"/>
    <cellStyle name="Warning Text" xfId="16" builtinId="11" customBuiltin="1"/>
  </cellStyles>
  <dxfs count="2">
    <dxf>
      <font>
        <b/>
        <i val="0"/>
        <color rgb="FFFF0000"/>
      </font>
    </dxf>
    <dxf>
      <font>
        <b/>
        <i val="0"/>
        <color rgb="FFFF0000"/>
      </font>
    </dxf>
  </dxfs>
  <tableStyles count="0" defaultTableStyle="TableStyleMedium2" defaultPivotStyle="PivotStyleLight16"/>
  <colors>
    <mruColors>
      <color rgb="FFFF3300"/>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0</xdr:col>
      <xdr:colOff>228600</xdr:colOff>
      <xdr:row>1</xdr:row>
      <xdr:rowOff>150019</xdr:rowOff>
    </xdr:from>
    <xdr:to>
      <xdr:col>13</xdr:col>
      <xdr:colOff>1422401</xdr:colOff>
      <xdr:row>41</xdr:row>
      <xdr:rowOff>64294</xdr:rowOff>
    </xdr:to>
    <xdr:grpSp>
      <xdr:nvGrpSpPr>
        <xdr:cNvPr id="11" name="Group 11">
          <a:extLst>
            <a:ext uri="{FF2B5EF4-FFF2-40B4-BE49-F238E27FC236}">
              <a16:creationId xmlns:a16="http://schemas.microsoft.com/office/drawing/2014/main" id="{00000000-0008-0000-0000-00000B000000}"/>
            </a:ext>
          </a:extLst>
        </xdr:cNvPr>
        <xdr:cNvGrpSpPr>
          <a:grpSpLocks/>
        </xdr:cNvGrpSpPr>
      </xdr:nvGrpSpPr>
      <xdr:grpSpPr bwMode="auto">
        <a:xfrm>
          <a:off x="228600" y="340519"/>
          <a:ext cx="9036051" cy="7534275"/>
          <a:chOff x="-139222" y="0"/>
          <a:chExt cx="9036087" cy="6591672"/>
        </a:xfrm>
      </xdr:grpSpPr>
      <xdr:sp macro="" textlink="">
        <xdr:nvSpPr>
          <xdr:cNvPr id="12" name="Rectangle 11">
            <a:extLst>
              <a:ext uri="{FF2B5EF4-FFF2-40B4-BE49-F238E27FC236}">
                <a16:creationId xmlns:a16="http://schemas.microsoft.com/office/drawing/2014/main" id="{00000000-0008-0000-0000-00000C000000}"/>
              </a:ext>
            </a:extLst>
          </xdr:cNvPr>
          <xdr:cNvSpPr/>
        </xdr:nvSpPr>
        <xdr:spPr>
          <a:xfrm>
            <a:off x="-139222" y="0"/>
            <a:ext cx="9036087" cy="6591672"/>
          </a:xfrm>
          <a:prstGeom prst="rect">
            <a:avLst/>
          </a:prstGeom>
          <a:solidFill>
            <a:schemeClr val="bg1"/>
          </a:solidFill>
          <a:ln w="76200">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r>
              <a:rPr lang="en-ZA" sz="2800" b="1">
                <a:solidFill>
                  <a:schemeClr val="tx1"/>
                </a:solidFill>
                <a:latin typeface="Arial" charset="0"/>
                <a:cs typeface="Arial" charset="0"/>
              </a:rPr>
              <a:t> </a:t>
            </a:r>
          </a:p>
        </xdr:txBody>
      </xdr:sp>
      <xdr:sp macro="" textlink="">
        <xdr:nvSpPr>
          <xdr:cNvPr id="13" name="TextBox 4">
            <a:extLst>
              <a:ext uri="{FF2B5EF4-FFF2-40B4-BE49-F238E27FC236}">
                <a16:creationId xmlns:a16="http://schemas.microsoft.com/office/drawing/2014/main" id="{00000000-0008-0000-0000-00000D000000}"/>
              </a:ext>
            </a:extLst>
          </xdr:cNvPr>
          <xdr:cNvSpPr txBox="1">
            <a:spLocks noChangeArrowheads="1"/>
          </xdr:cNvSpPr>
        </xdr:nvSpPr>
        <xdr:spPr bwMode="auto">
          <a:xfrm>
            <a:off x="178879" y="340376"/>
            <a:ext cx="8501448" cy="1095845"/>
          </a:xfrm>
          <a:prstGeom prst="rect">
            <a:avLst/>
          </a:prstGeom>
          <a:solidFill>
            <a:schemeClr val="accent3">
              <a:lumMod val="60000"/>
              <a:lumOff val="40000"/>
            </a:schemeClr>
          </a:solidFill>
          <a:ln w="9525">
            <a:noFill/>
            <a:miter lim="800000"/>
            <a:headEnd/>
            <a:tailEnd/>
          </a:ln>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fontAlgn="auto">
              <a:lnSpc>
                <a:spcPts val="3100"/>
              </a:lnSpc>
              <a:spcBef>
                <a:spcPts val="0"/>
              </a:spcBef>
              <a:spcAft>
                <a:spcPts val="0"/>
              </a:spcAft>
              <a:defRPr/>
            </a:pPr>
            <a:endParaRPr lang="en-ZA" sz="2800" b="1">
              <a:latin typeface="Bell MT" pitchFamily="18" charset="0"/>
            </a:endParaRPr>
          </a:p>
          <a:p>
            <a:pPr algn="ctr" fontAlgn="auto">
              <a:lnSpc>
                <a:spcPts val="3000"/>
              </a:lnSpc>
              <a:spcBef>
                <a:spcPts val="0"/>
              </a:spcBef>
              <a:spcAft>
                <a:spcPts val="0"/>
              </a:spcAft>
              <a:defRPr/>
            </a:pPr>
            <a:r>
              <a:rPr lang="en-ZA" sz="2800" b="1">
                <a:latin typeface="Bell MT" pitchFamily="18" charset="0"/>
              </a:rPr>
              <a:t>GREATER LETABA MUNICIPALITY</a:t>
            </a:r>
          </a:p>
          <a:p>
            <a:pPr algn="ctr" fontAlgn="auto">
              <a:lnSpc>
                <a:spcPts val="3000"/>
              </a:lnSpc>
              <a:spcBef>
                <a:spcPts val="0"/>
              </a:spcBef>
              <a:spcAft>
                <a:spcPts val="0"/>
              </a:spcAft>
              <a:defRPr/>
            </a:pPr>
            <a:endParaRPr lang="en-ZA" sz="2800" b="1">
              <a:latin typeface="Bell MT" pitchFamily="18" charset="0"/>
            </a:endParaRPr>
          </a:p>
        </xdr:txBody>
      </xdr:sp>
      <xdr:pic>
        <xdr:nvPicPr>
          <xdr:cNvPr id="14" name="Picture 15">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1">
            <a:lum bright="24000" contrast="20000"/>
          </a:blip>
          <a:srcRect/>
          <a:stretch>
            <a:fillRect/>
          </a:stretch>
        </xdr:blipFill>
        <xdr:spPr bwMode="auto">
          <a:xfrm>
            <a:off x="7110930" y="4391612"/>
            <a:ext cx="1620837" cy="1567849"/>
          </a:xfrm>
          <a:prstGeom prst="rect">
            <a:avLst/>
          </a:prstGeom>
          <a:noFill/>
          <a:ln w="9525">
            <a:noFill/>
            <a:miter lim="800000"/>
            <a:headEnd/>
            <a:tailEnd/>
          </a:ln>
        </xdr:spPr>
      </xdr:pic>
      <xdr:pic>
        <xdr:nvPicPr>
          <xdr:cNvPr id="15" name="Picture 16" descr="family">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107569" y="3052334"/>
            <a:ext cx="1762125" cy="1467961"/>
          </a:xfrm>
          <a:prstGeom prst="rect">
            <a:avLst/>
          </a:prstGeom>
          <a:noFill/>
          <a:ln w="9525">
            <a:noFill/>
            <a:miter lim="800000"/>
            <a:headEnd/>
            <a:tailEnd/>
          </a:ln>
        </xdr:spPr>
      </xdr:pic>
      <xdr:pic>
        <xdr:nvPicPr>
          <xdr:cNvPr id="16" name="Picture 17" descr="ENCEPHALARTOS_TRANSVENOSUS5_FCONE-01262005">
            <a:extLst>
              <a:ext uri="{FF2B5EF4-FFF2-40B4-BE49-F238E27FC236}">
                <a16:creationId xmlns:a16="http://schemas.microsoft.com/office/drawing/2014/main" id="{00000000-0008-0000-0000-000010000000}"/>
              </a:ext>
            </a:extLst>
          </xdr:cNvPr>
          <xdr:cNvPicPr>
            <a:picLocks noChangeAspect="1" noChangeArrowheads="1"/>
          </xdr:cNvPicPr>
        </xdr:nvPicPr>
        <xdr:blipFill>
          <a:blip xmlns:r="http://schemas.openxmlformats.org/officeDocument/2006/relationships" r:embed="rId3">
            <a:lum bright="34000" contrast="32000"/>
          </a:blip>
          <a:srcRect/>
          <a:stretch>
            <a:fillRect/>
          </a:stretch>
        </xdr:blipFill>
        <xdr:spPr bwMode="auto">
          <a:xfrm>
            <a:off x="89920" y="4533676"/>
            <a:ext cx="1785938" cy="1401956"/>
          </a:xfrm>
          <a:prstGeom prst="rect">
            <a:avLst/>
          </a:prstGeom>
          <a:noFill/>
          <a:ln w="9525">
            <a:noFill/>
            <a:miter lim="800000"/>
            <a:headEnd/>
            <a:tailEnd/>
          </a:ln>
        </xdr:spPr>
      </xdr:pic>
      <xdr:sp macro="" textlink="">
        <xdr:nvSpPr>
          <xdr:cNvPr id="17" name="TextBox 10">
            <a:extLst>
              <a:ext uri="{FF2B5EF4-FFF2-40B4-BE49-F238E27FC236}">
                <a16:creationId xmlns:a16="http://schemas.microsoft.com/office/drawing/2014/main" id="{00000000-0008-0000-0000-000011000000}"/>
              </a:ext>
            </a:extLst>
          </xdr:cNvPr>
          <xdr:cNvSpPr txBox="1"/>
        </xdr:nvSpPr>
        <xdr:spPr>
          <a:xfrm>
            <a:off x="2014740" y="3038479"/>
            <a:ext cx="4989776" cy="2922253"/>
          </a:xfrm>
          <a:prstGeom prst="rect">
            <a:avLst/>
          </a:prstGeom>
          <a:solidFill>
            <a:schemeClr val="accent3">
              <a:lumMod val="60000"/>
              <a:lumOff val="40000"/>
            </a:schemeClr>
          </a:solidFill>
        </xdr:spPr>
        <xdr:txBody>
          <a:bodyPr wrap="square">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lnSpc>
                <a:spcPts val="2800"/>
              </a:lnSpc>
              <a:defRPr/>
            </a:pPr>
            <a:endParaRPr lang="en-GB" sz="2800" b="1">
              <a:latin typeface="Calibri" pitchFamily="34" charset="0"/>
              <a:cs typeface="Arial" pitchFamily="34" charset="0"/>
            </a:endParaRPr>
          </a:p>
          <a:p>
            <a:pPr algn="ctr">
              <a:lnSpc>
                <a:spcPts val="2500"/>
              </a:lnSpc>
              <a:defRPr/>
            </a:pPr>
            <a:r>
              <a:rPr lang="en-GB" sz="2800" b="1" i="0">
                <a:latin typeface="Bell MT" pitchFamily="18" charset="0"/>
                <a:cs typeface="Arial" pitchFamily="34" charset="0"/>
              </a:rPr>
              <a:t>  2019/2020</a:t>
            </a:r>
          </a:p>
          <a:p>
            <a:pPr algn="ctr">
              <a:lnSpc>
                <a:spcPts val="2500"/>
              </a:lnSpc>
              <a:defRPr/>
            </a:pPr>
            <a:endParaRPr lang="en-ZA" sz="2800">
              <a:effectLst/>
              <a:latin typeface="Bell MT" panose="02020503060305020303" pitchFamily="18" charset="0"/>
            </a:endParaRPr>
          </a:p>
          <a:p>
            <a:pPr algn="ctr">
              <a:lnSpc>
                <a:spcPts val="2500"/>
              </a:lnSpc>
              <a:defRPr/>
            </a:pPr>
            <a:r>
              <a:rPr lang="en-GB" sz="2800" b="1" i="0">
                <a:latin typeface="Bell MT" pitchFamily="18" charset="0"/>
                <a:cs typeface="Arial" pitchFamily="34" charset="0"/>
              </a:rPr>
              <a:t>REVIEWED</a:t>
            </a:r>
            <a:r>
              <a:rPr lang="en-GB" sz="2800" b="1" i="0" baseline="0">
                <a:latin typeface="Bell MT" pitchFamily="18" charset="0"/>
                <a:cs typeface="Arial" pitchFamily="34" charset="0"/>
              </a:rPr>
              <a:t> </a:t>
            </a:r>
            <a:r>
              <a:rPr lang="en-GB" sz="2800" b="1" i="0">
                <a:latin typeface="Bell MT" pitchFamily="18" charset="0"/>
                <a:cs typeface="Arial" pitchFamily="34" charset="0"/>
              </a:rPr>
              <a:t>SERVICE DELIVERY BUDGET IMPLEMENTATION PLAN </a:t>
            </a:r>
            <a:endParaRPr lang="en-ZA" sz="2800" b="1">
              <a:latin typeface="Calibri" pitchFamily="34" charset="0"/>
              <a:cs typeface="Arial" pitchFamily="34" charset="0"/>
            </a:endParaRPr>
          </a:p>
        </xdr:txBody>
      </xdr:sp>
      <xdr:pic>
        <xdr:nvPicPr>
          <xdr:cNvPr id="18" name="Picture 19" descr="ENCEPHALARTOS_TRANSVENOSUS5_FCONE-01262005">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4">
            <a:lum bright="34000" contrast="32000"/>
          </a:blip>
          <a:srcRect/>
          <a:stretch>
            <a:fillRect/>
          </a:stretch>
        </xdr:blipFill>
        <xdr:spPr bwMode="auto">
          <a:xfrm>
            <a:off x="7110930" y="3053799"/>
            <a:ext cx="1643062" cy="1389178"/>
          </a:xfrm>
          <a:prstGeom prst="rect">
            <a:avLst/>
          </a:prstGeom>
          <a:noFill/>
          <a:ln w="9525">
            <a:noFill/>
            <a:miter lim="800000"/>
            <a:headEnd/>
            <a:tailEnd/>
          </a:ln>
        </xdr:spPr>
      </xdr:pic>
    </xdr:grpSp>
    <xdr:clientData/>
  </xdr:twoCellAnchor>
  <xdr:twoCellAnchor>
    <xdr:from>
      <xdr:col>5</xdr:col>
      <xdr:colOff>502444</xdr:colOff>
      <xdr:row>9</xdr:row>
      <xdr:rowOff>145652</xdr:rowOff>
    </xdr:from>
    <xdr:to>
      <xdr:col>8</xdr:col>
      <xdr:colOff>447675</xdr:colOff>
      <xdr:row>19</xdr:row>
      <xdr:rowOff>173270</xdr:rowOff>
    </xdr:to>
    <xdr:pic>
      <xdr:nvPicPr>
        <xdr:cNvPr id="19" name="Picture 18">
          <a:extLst>
            <a:ext uri="{FF2B5EF4-FFF2-40B4-BE49-F238E27FC236}">
              <a16:creationId xmlns:a16="http://schemas.microsoft.com/office/drawing/2014/main" id="{00000000-0008-0000-0000-000013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550444" y="1860152"/>
          <a:ext cx="1774031" cy="1932618"/>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immyn\Desktop\LIM332%20B%20Schedule%20-%20mSCOA%20Ver6.2%20February%20201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immyn\Desktop\SDBIP\SDBIP%202020\A1%20Schedule%20-%20mSCOA%20vs%206.3%20-%2028%20March%20%202019.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jimmyn\Desktop\SDBIP\LIM332%20B%20Schedule%20-%20mSCOA%20Ver6.2%20Additional%20Funding.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B1-Sum"/>
      <sheetName val="B2-FinPerf SC"/>
      <sheetName val="B2B"/>
      <sheetName val="B3-FinPerf V"/>
      <sheetName val="B3B"/>
      <sheetName val="B4-FinPerf RE"/>
      <sheetName val="B5-Capex"/>
      <sheetName val="B5B"/>
      <sheetName val="B6-FinPos"/>
      <sheetName val="B7-CFlow"/>
      <sheetName val="B8-ResRecon"/>
      <sheetName val="B9-Asset"/>
      <sheetName val="B10-SerDel"/>
      <sheetName val="SB1"/>
      <sheetName val="SB2"/>
      <sheetName val="SB3"/>
      <sheetName val="SB4"/>
      <sheetName val="SB5"/>
      <sheetName val="SB6"/>
      <sheetName val="SB7"/>
      <sheetName val="SB8"/>
      <sheetName val="SB9"/>
      <sheetName val="SB10"/>
      <sheetName val="SB11"/>
      <sheetName val="SB12"/>
      <sheetName val="SB13"/>
      <sheetName val="SB14"/>
      <sheetName val="SB15"/>
      <sheetName val="SB16"/>
      <sheetName val="SB17"/>
      <sheetName val="SB18a"/>
      <sheetName val="SB18b"/>
      <sheetName val="SB18c"/>
      <sheetName val="SB18d"/>
      <sheetName val="SB18e"/>
      <sheetName val="SB19"/>
      <sheetName val="SB20"/>
      <sheetName val="COVER"/>
      <sheetName val="INDEX"/>
      <sheetName val="INTRO"/>
      <sheetName val="METHODOLOGY"/>
      <sheetName val="STRATEGY"/>
      <sheetName val="OPERATIONAL STRATEIES"/>
      <sheetName val="Table B3"/>
      <sheetName val="Table B4"/>
      <sheetName val="Table B5"/>
      <sheetName val="SB 12"/>
      <sheetName val="SB 14"/>
      <sheetName val="SB 16"/>
      <sheetName val="MTOD KPI"/>
      <sheetName val="BSD KPI"/>
      <sheetName val="LED KPI"/>
      <sheetName val="MFMV KPI"/>
      <sheetName val="GGPP KPI"/>
      <sheetName val="CWP 2018-2019"/>
      <sheetName val="MTOD Annextue A"/>
      <sheetName val="BSD Annexture B"/>
      <sheetName val="LED Annexture C"/>
      <sheetName val="MFMV Annexture D"/>
      <sheetName val="GGPP Annexture E"/>
      <sheetName val="Projects removed"/>
      <sheetName val="SIGNATURES"/>
      <sheetName val="Table A3"/>
      <sheetName val="Table A4"/>
      <sheetName val="Table A5"/>
      <sheetName val="SA 26"/>
      <sheetName val="SA 27"/>
      <sheetName val="SA 28"/>
      <sheetName val="CWP 2019-202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row r="5">
          <cell r="B5">
            <v>0</v>
          </cell>
        </row>
        <row r="13">
          <cell r="B13">
            <v>0</v>
          </cell>
        </row>
        <row r="14">
          <cell r="B14">
            <v>0</v>
          </cell>
        </row>
        <row r="16">
          <cell r="B16">
            <v>0</v>
          </cell>
        </row>
        <row r="17">
          <cell r="B17">
            <v>0</v>
          </cell>
        </row>
        <row r="18">
          <cell r="B18">
            <v>0</v>
          </cell>
        </row>
        <row r="19">
          <cell r="B19">
            <v>0</v>
          </cell>
        </row>
        <row r="20">
          <cell r="B20">
            <v>0</v>
          </cell>
        </row>
        <row r="21">
          <cell r="B21">
            <v>0</v>
          </cell>
        </row>
        <row r="22">
          <cell r="B22">
            <v>2</v>
          </cell>
        </row>
        <row r="23">
          <cell r="B23">
            <v>0</v>
          </cell>
        </row>
      </sheetData>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sheetData sheetId="69">
        <row r="5">
          <cell r="B5">
            <v>2</v>
          </cell>
        </row>
      </sheetData>
      <sheetData sheetId="70"/>
      <sheetData sheetId="71"/>
      <sheetData sheetId="72"/>
      <sheetData sheetId="73"/>
      <sheetData sheetId="7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Chart1"/>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a"/>
      <sheetName val="SA12b"/>
      <sheetName val="SA13a"/>
      <sheetName val="SA13b"/>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4d"/>
      <sheetName val="SA34e"/>
      <sheetName val="SA35"/>
      <sheetName val="SA36"/>
      <sheetName val="SA37"/>
      <sheetName val="SA38"/>
      <sheetName val="LGDB_EXPORT"/>
    </sheetNames>
    <sheetDataSet>
      <sheetData sheetId="0"/>
      <sheetData sheetId="1"/>
      <sheetData sheetId="2">
        <row r="2">
          <cell r="B2" t="str">
            <v>2017/18</v>
          </cell>
        </row>
        <row r="3">
          <cell r="B3" t="str">
            <v>2016/17</v>
          </cell>
        </row>
        <row r="4">
          <cell r="B4" t="str">
            <v>2015/16</v>
          </cell>
        </row>
        <row r="7">
          <cell r="B7" t="str">
            <v>2019/20 Medium Term Revenue &amp; Expenditure Framework</v>
          </cell>
        </row>
        <row r="8">
          <cell r="B8" t="str">
            <v>LTFS</v>
          </cell>
        </row>
        <row r="9">
          <cell r="B9" t="str">
            <v>Audited Outcome</v>
          </cell>
        </row>
        <row r="11">
          <cell r="B11" t="str">
            <v>Pre-audit outcome</v>
          </cell>
        </row>
        <row r="14">
          <cell r="B14" t="str">
            <v>Full Year Forecast</v>
          </cell>
        </row>
        <row r="18">
          <cell r="B18" t="str">
            <v>Forecast 2022/23</v>
          </cell>
        </row>
        <row r="19">
          <cell r="B19" t="str">
            <v>Forecast 2023/24</v>
          </cell>
        </row>
        <row r="20">
          <cell r="B20" t="str">
            <v>Forecast 2024/25</v>
          </cell>
        </row>
        <row r="21">
          <cell r="B21" t="str">
            <v>Forecast 2025/26</v>
          </cell>
        </row>
        <row r="22">
          <cell r="B22" t="str">
            <v>Forecast 2026/27</v>
          </cell>
        </row>
        <row r="23">
          <cell r="B23" t="str">
            <v>Forecast 2027/28</v>
          </cell>
        </row>
        <row r="24">
          <cell r="B24" t="str">
            <v>Forecast 2028/29</v>
          </cell>
        </row>
        <row r="25">
          <cell r="B25" t="str">
            <v>Forecast 2029/30</v>
          </cell>
        </row>
        <row r="26">
          <cell r="B26" t="str">
            <v>Forecast 2030/31</v>
          </cell>
        </row>
        <row r="27">
          <cell r="B27" t="str">
            <v>Forecast 2031/32</v>
          </cell>
        </row>
        <row r="28">
          <cell r="B28" t="str">
            <v>Forecast 2032/33</v>
          </cell>
        </row>
        <row r="29">
          <cell r="B29" t="str">
            <v>Forecast 2033/34</v>
          </cell>
        </row>
        <row r="102">
          <cell r="B102" t="str">
            <v>Table A3 Budgeted Financial Performance (revenue and expenditure by municipal vote)</v>
          </cell>
        </row>
        <row r="103">
          <cell r="B103" t="str">
            <v>Table A4 Budgeted Financial Performance (revenue and expenditure)</v>
          </cell>
        </row>
        <row r="137">
          <cell r="B137" t="str">
            <v>Supporting Table SA25 Budgeted monthly revenue and expenditure</v>
          </cell>
        </row>
        <row r="138">
          <cell r="B138" t="str">
            <v>Supporting Table SA26 Budgeted monthly revenue and expenditure (municipal vote)</v>
          </cell>
        </row>
        <row r="140">
          <cell r="B140" t="str">
            <v>Supporting Table SA28 Budgeted monthly capital expenditure (municipal vote)</v>
          </cell>
        </row>
      </sheetData>
      <sheetData sheetId="3"/>
      <sheetData sheetId="4">
        <row r="2">
          <cell r="A2" t="str">
            <v>Vote 1 - Executive &amp; Council</v>
          </cell>
        </row>
        <row r="3">
          <cell r="A3" t="str">
            <v>Vote 2 - Finance and Administration</v>
          </cell>
          <cell r="E3" t="str">
            <v>1,1 - Mayor and Council</v>
          </cell>
        </row>
        <row r="4">
          <cell r="A4" t="str">
            <v>Vote 3 - Internal Audit</v>
          </cell>
          <cell r="E4" t="str">
            <v>1,2 - Municipal Manager</v>
          </cell>
        </row>
        <row r="5">
          <cell r="A5" t="str">
            <v>Vote 4 - Community and Public Safety</v>
          </cell>
        </row>
        <row r="6">
          <cell r="A6" t="str">
            <v>Vote 5 - Sports and Recreation</v>
          </cell>
        </row>
        <row r="7">
          <cell r="A7" t="str">
            <v>Vote 6 - Housing</v>
          </cell>
        </row>
        <row r="8">
          <cell r="A8" t="str">
            <v xml:space="preserve">Vote 7 - Planning and development </v>
          </cell>
        </row>
        <row r="9">
          <cell r="A9" t="str">
            <v>Vote 8 - Road Transport</v>
          </cell>
        </row>
        <row r="10">
          <cell r="A10" t="str">
            <v>Vote 9 - Energy Sources</v>
          </cell>
        </row>
        <row r="11">
          <cell r="A11" t="str">
            <v>Vote 10 - Waste Water Management</v>
          </cell>
        </row>
        <row r="12">
          <cell r="A12" t="str">
            <v>Vote 11 - Waste Management</v>
          </cell>
        </row>
        <row r="13">
          <cell r="A13" t="str">
            <v>Vote 12 - [NAME OF VOTE 12]</v>
          </cell>
        </row>
        <row r="14">
          <cell r="A14" t="str">
            <v>Vote 13 - [NAME OF VOTE 13]</v>
          </cell>
          <cell r="E14" t="str">
            <v>2,1 - Administrative and Corporate Support</v>
          </cell>
        </row>
        <row r="15">
          <cell r="A15" t="str">
            <v>Vote 14 - [NAME OF VOTE 14]</v>
          </cell>
          <cell r="E15" t="str">
            <v>2,2 - Asset Management</v>
          </cell>
        </row>
        <row r="16">
          <cell r="A16" t="str">
            <v>Vote 15 - [NAME OF VOTE 15]</v>
          </cell>
          <cell r="E16" t="str">
            <v>2,3 - Budget and Treasury Office</v>
          </cell>
        </row>
        <row r="17">
          <cell r="E17" t="str">
            <v>2,4 - Human Resource</v>
          </cell>
        </row>
        <row r="18">
          <cell r="E18" t="str">
            <v>2,5 - Information Technology</v>
          </cell>
        </row>
        <row r="19">
          <cell r="E19" t="str">
            <v>2,6 - Legal Services</v>
          </cell>
        </row>
        <row r="20">
          <cell r="E20" t="str">
            <v>2,7 - Customer Relation and Coordination</v>
          </cell>
        </row>
        <row r="21">
          <cell r="E21" t="str">
            <v>2,8 - Property Services</v>
          </cell>
        </row>
        <row r="22">
          <cell r="E22" t="str">
            <v>2,9 - Risk Management</v>
          </cell>
        </row>
        <row r="23">
          <cell r="E23" t="str">
            <v>2.10 - Supply Chain Management</v>
          </cell>
        </row>
        <row r="25">
          <cell r="E25" t="str">
            <v>3,1 - Governance Function</v>
          </cell>
        </row>
        <row r="36">
          <cell r="E36" t="str">
            <v>4,1 - Cemetries and crematoriums</v>
          </cell>
        </row>
        <row r="37">
          <cell r="E37" t="str">
            <v>4,2 - Community halls and Facilities</v>
          </cell>
        </row>
        <row r="38">
          <cell r="E38" t="str">
            <v>4,3 - Disaster Management</v>
          </cell>
        </row>
        <row r="39">
          <cell r="E39" t="str">
            <v>4,4 - Libraries and Archives</v>
          </cell>
        </row>
        <row r="47">
          <cell r="E47" t="str">
            <v>5,1 - Community parks</v>
          </cell>
        </row>
        <row r="58">
          <cell r="E58" t="str">
            <v>6,1 - Housing</v>
          </cell>
        </row>
        <row r="69">
          <cell r="E69" t="str">
            <v>7,1 - Corporate Wide Strategic Planning (IDP &amp; LED)</v>
          </cell>
        </row>
        <row r="70">
          <cell r="E70" t="str">
            <v>7,2 - Town Planning and Building Regulations</v>
          </cell>
        </row>
        <row r="71">
          <cell r="E71" t="str">
            <v>7,3 - Project Management Unit</v>
          </cell>
        </row>
        <row r="80">
          <cell r="E80" t="str">
            <v>8,1 - Road and Traffic Regulations</v>
          </cell>
        </row>
        <row r="81">
          <cell r="E81" t="str">
            <v>8,2 - Roads</v>
          </cell>
        </row>
        <row r="82">
          <cell r="E82" t="str">
            <v>8,3 - Taxi Ranks</v>
          </cell>
        </row>
        <row r="91">
          <cell r="E91" t="str">
            <v>9,1 - Electricity</v>
          </cell>
        </row>
        <row r="92">
          <cell r="E92" t="str">
            <v>9,2 - Street Lighting</v>
          </cell>
        </row>
        <row r="102">
          <cell r="E102" t="str">
            <v>10,1 - Public Toilets</v>
          </cell>
        </row>
        <row r="113">
          <cell r="E113" t="str">
            <v>11,1 - Solid Waste Removal</v>
          </cell>
        </row>
        <row r="124">
          <cell r="E124" t="str">
            <v>12.1 - [Name of sub-vote]</v>
          </cell>
        </row>
        <row r="135">
          <cell r="E135" t="str">
            <v>13.1 - [Name of sub-vote]</v>
          </cell>
        </row>
        <row r="146">
          <cell r="E146" t="str">
            <v>14.1 - [Name of sub-vote]</v>
          </cell>
        </row>
        <row r="157">
          <cell r="E157" t="str">
            <v>15.1 - [Name of sub-vote]</v>
          </cell>
        </row>
      </sheetData>
      <sheetData sheetId="5"/>
      <sheetData sheetId="6"/>
      <sheetData sheetId="7"/>
      <sheetData sheetId="8"/>
      <sheetData sheetId="9">
        <row r="4">
          <cell r="A4" t="str">
            <v>Revenue by Vote</v>
          </cell>
        </row>
        <row r="5">
          <cell r="A5" t="str">
            <v>Vote 1 - Executive &amp; Council</v>
          </cell>
          <cell r="I5">
            <v>0</v>
          </cell>
          <cell r="J5">
            <v>0</v>
          </cell>
          <cell r="K5">
            <v>0</v>
          </cell>
        </row>
        <row r="6">
          <cell r="A6" t="str">
            <v>Vote 2 - Finance and Administration</v>
          </cell>
          <cell r="I6">
            <v>395389361</v>
          </cell>
          <cell r="J6">
            <v>420077858</v>
          </cell>
          <cell r="K6">
            <v>449627111</v>
          </cell>
        </row>
        <row r="7">
          <cell r="A7" t="str">
            <v>Vote 3 - Internal Audit</v>
          </cell>
          <cell r="I7">
            <v>0</v>
          </cell>
          <cell r="J7">
            <v>0</v>
          </cell>
          <cell r="K7">
            <v>0</v>
          </cell>
        </row>
        <row r="8">
          <cell r="A8" t="str">
            <v>Vote 4 - Community and Public Safety</v>
          </cell>
          <cell r="I8">
            <v>0</v>
          </cell>
          <cell r="J8">
            <v>0</v>
          </cell>
          <cell r="K8">
            <v>0</v>
          </cell>
        </row>
        <row r="9">
          <cell r="A9" t="str">
            <v>Vote 5 - Sports and Recreation</v>
          </cell>
          <cell r="I9">
            <v>0</v>
          </cell>
          <cell r="J9">
            <v>0</v>
          </cell>
          <cell r="K9">
            <v>0</v>
          </cell>
        </row>
        <row r="10">
          <cell r="A10" t="str">
            <v>Vote 6 - Housing</v>
          </cell>
          <cell r="I10">
            <v>0</v>
          </cell>
          <cell r="J10">
            <v>0</v>
          </cell>
          <cell r="K10">
            <v>0</v>
          </cell>
        </row>
        <row r="11">
          <cell r="A11" t="str">
            <v xml:space="preserve">Vote 7 - Planning and development </v>
          </cell>
          <cell r="I11">
            <v>0</v>
          </cell>
          <cell r="J11">
            <v>0</v>
          </cell>
          <cell r="K11">
            <v>0</v>
          </cell>
        </row>
        <row r="12">
          <cell r="A12" t="str">
            <v>Vote 8 - Road Transport</v>
          </cell>
          <cell r="I12">
            <v>27416192</v>
          </cell>
          <cell r="J12">
            <v>28896666</v>
          </cell>
          <cell r="K12">
            <v>30457086</v>
          </cell>
        </row>
        <row r="13">
          <cell r="A13" t="str">
            <v>Vote 9 - Energy Sources</v>
          </cell>
          <cell r="I13">
            <v>28664837</v>
          </cell>
          <cell r="J13">
            <v>37212738</v>
          </cell>
          <cell r="K13">
            <v>38844226</v>
          </cell>
        </row>
        <row r="14">
          <cell r="A14" t="str">
            <v>Vote 10 - Waste Water Management</v>
          </cell>
          <cell r="I14">
            <v>0</v>
          </cell>
          <cell r="J14">
            <v>0</v>
          </cell>
          <cell r="K14">
            <v>0</v>
          </cell>
        </row>
        <row r="15">
          <cell r="A15" t="str">
            <v>Vote 11 - Waste Management</v>
          </cell>
          <cell r="I15">
            <v>8672053</v>
          </cell>
          <cell r="J15">
            <v>9140344</v>
          </cell>
          <cell r="K15">
            <v>9633923</v>
          </cell>
        </row>
        <row r="16">
          <cell r="A16" t="str">
            <v>Vote 12 - [NAME OF VOTE 12]</v>
          </cell>
          <cell r="I16">
            <v>0</v>
          </cell>
          <cell r="J16">
            <v>0</v>
          </cell>
          <cell r="K16">
            <v>0</v>
          </cell>
        </row>
        <row r="17">
          <cell r="A17" t="str">
            <v>Vote 13 - [NAME OF VOTE 13]</v>
          </cell>
          <cell r="I17">
            <v>0</v>
          </cell>
          <cell r="J17">
            <v>0</v>
          </cell>
          <cell r="K17">
            <v>0</v>
          </cell>
        </row>
        <row r="18">
          <cell r="A18" t="str">
            <v>Vote 14 - [NAME OF VOTE 14]</v>
          </cell>
          <cell r="I18">
            <v>0</v>
          </cell>
          <cell r="J18">
            <v>0</v>
          </cell>
          <cell r="K18">
            <v>0</v>
          </cell>
        </row>
        <row r="19">
          <cell r="A19" t="str">
            <v>Vote 15 - [NAME OF VOTE 15]</v>
          </cell>
          <cell r="I19">
            <v>0</v>
          </cell>
          <cell r="J19">
            <v>0</v>
          </cell>
          <cell r="K19">
            <v>0</v>
          </cell>
        </row>
        <row r="20">
          <cell r="A20" t="str">
            <v>Total Revenue by Vote</v>
          </cell>
        </row>
        <row r="22">
          <cell r="A22" t="str">
            <v>Expenditure by Vote to be appropriated</v>
          </cell>
        </row>
        <row r="23">
          <cell r="I23">
            <v>55042807</v>
          </cell>
          <cell r="J23">
            <v>58188850</v>
          </cell>
          <cell r="K23">
            <v>61461249</v>
          </cell>
        </row>
        <row r="24">
          <cell r="I24">
            <v>98346377</v>
          </cell>
          <cell r="J24">
            <v>103669749</v>
          </cell>
          <cell r="K24">
            <v>109799312</v>
          </cell>
        </row>
        <row r="25">
          <cell r="I25">
            <v>2626731</v>
          </cell>
          <cell r="J25">
            <v>2792493</v>
          </cell>
          <cell r="K25">
            <v>2968857</v>
          </cell>
        </row>
        <row r="26">
          <cell r="I26">
            <v>10102909</v>
          </cell>
          <cell r="J26">
            <v>6712339</v>
          </cell>
          <cell r="K26">
            <v>7359085</v>
          </cell>
        </row>
        <row r="27">
          <cell r="I27">
            <v>15182096</v>
          </cell>
          <cell r="J27">
            <v>16321355</v>
          </cell>
          <cell r="K27">
            <v>17399646</v>
          </cell>
        </row>
        <row r="28">
          <cell r="I28">
            <v>776788</v>
          </cell>
          <cell r="J28">
            <v>830087</v>
          </cell>
          <cell r="K28">
            <v>887048</v>
          </cell>
        </row>
        <row r="29">
          <cell r="I29">
            <v>23542563</v>
          </cell>
          <cell r="J29">
            <v>16226548</v>
          </cell>
          <cell r="K29">
            <v>17220675</v>
          </cell>
        </row>
        <row r="30">
          <cell r="I30">
            <v>54020389</v>
          </cell>
          <cell r="J30">
            <v>57289076</v>
          </cell>
          <cell r="K30">
            <v>60758546</v>
          </cell>
        </row>
        <row r="31">
          <cell r="I31">
            <v>42686645</v>
          </cell>
          <cell r="J31">
            <v>40832094</v>
          </cell>
          <cell r="K31">
            <v>43108554</v>
          </cell>
        </row>
        <row r="32">
          <cell r="I32">
            <v>751605</v>
          </cell>
          <cell r="J32">
            <v>802836</v>
          </cell>
          <cell r="K32">
            <v>857569</v>
          </cell>
        </row>
        <row r="33">
          <cell r="I33">
            <v>5509316</v>
          </cell>
          <cell r="J33">
            <v>5839885</v>
          </cell>
          <cell r="K33">
            <v>6190587</v>
          </cell>
        </row>
        <row r="34">
          <cell r="I34">
            <v>0</v>
          </cell>
          <cell r="J34">
            <v>0</v>
          </cell>
          <cell r="K34">
            <v>0</v>
          </cell>
        </row>
        <row r="35">
          <cell r="I35">
            <v>0</v>
          </cell>
          <cell r="J35">
            <v>0</v>
          </cell>
          <cell r="K35">
            <v>0</v>
          </cell>
        </row>
        <row r="36">
          <cell r="I36">
            <v>0</v>
          </cell>
          <cell r="J36">
            <v>0</v>
          </cell>
          <cell r="K36">
            <v>0</v>
          </cell>
        </row>
        <row r="37">
          <cell r="I37">
            <v>0</v>
          </cell>
          <cell r="J37">
            <v>0</v>
          </cell>
          <cell r="K37">
            <v>0</v>
          </cell>
        </row>
        <row r="38">
          <cell r="A38" t="str">
            <v>Total Expenditure by Vote</v>
          </cell>
        </row>
        <row r="39">
          <cell r="C39">
            <v>156204428</v>
          </cell>
          <cell r="D39">
            <v>90079183</v>
          </cell>
          <cell r="E39">
            <v>96547552</v>
          </cell>
          <cell r="F39">
            <v>179277318.91000009</v>
          </cell>
          <cell r="G39">
            <v>193661414.90999997</v>
          </cell>
          <cell r="H39">
            <v>193661414.90999997</v>
          </cell>
          <cell r="I39">
            <v>151554217</v>
          </cell>
          <cell r="J39">
            <v>185822294</v>
          </cell>
          <cell r="K39">
            <v>200551218</v>
          </cell>
        </row>
      </sheetData>
      <sheetData sheetId="10"/>
      <sheetData sheetId="11">
        <row r="4">
          <cell r="A4" t="str">
            <v>Revenue By Source</v>
          </cell>
        </row>
        <row r="5">
          <cell r="A5" t="str">
            <v>Property rates</v>
          </cell>
          <cell r="J5">
            <v>17740178</v>
          </cell>
          <cell r="K5">
            <v>18698147</v>
          </cell>
          <cell r="L5">
            <v>19707847</v>
          </cell>
        </row>
        <row r="6">
          <cell r="A6" t="str">
            <v>Service charges - electricity revenue</v>
          </cell>
          <cell r="J6">
            <v>25738909</v>
          </cell>
          <cell r="K6">
            <v>27128809</v>
          </cell>
          <cell r="L6">
            <v>28593766</v>
          </cell>
        </row>
        <row r="7">
          <cell r="A7" t="str">
            <v>Service charges - water revenue</v>
          </cell>
          <cell r="J7">
            <v>0</v>
          </cell>
          <cell r="K7">
            <v>0</v>
          </cell>
          <cell r="L7">
            <v>0</v>
          </cell>
        </row>
        <row r="8">
          <cell r="A8" t="str">
            <v>Service charges - sanitation revenue</v>
          </cell>
          <cell r="J8">
            <v>0</v>
          </cell>
          <cell r="K8">
            <v>0</v>
          </cell>
          <cell r="L8">
            <v>0</v>
          </cell>
        </row>
        <row r="9">
          <cell r="A9" t="str">
            <v>Service charges - refuse revenue</v>
          </cell>
          <cell r="J9">
            <v>8672053</v>
          </cell>
          <cell r="K9">
            <v>9140344</v>
          </cell>
          <cell r="L9">
            <v>9633923</v>
          </cell>
        </row>
        <row r="11">
          <cell r="A11" t="str">
            <v>Rental of facilities and equipment</v>
          </cell>
          <cell r="J11">
            <v>1006551</v>
          </cell>
          <cell r="K11">
            <v>1060905</v>
          </cell>
          <cell r="L11">
            <v>1118194</v>
          </cell>
        </row>
        <row r="12">
          <cell r="A12" t="str">
            <v>Interest earned - external investments</v>
          </cell>
          <cell r="J12">
            <v>4754530</v>
          </cell>
          <cell r="K12">
            <v>5011275</v>
          </cell>
          <cell r="L12">
            <v>5281884</v>
          </cell>
        </row>
        <row r="13">
          <cell r="A13" t="str">
            <v>Interest earned - outstanding debtors</v>
          </cell>
          <cell r="J13">
            <v>20227491</v>
          </cell>
          <cell r="K13">
            <v>21319776</v>
          </cell>
          <cell r="L13">
            <v>22471044</v>
          </cell>
        </row>
        <row r="14">
          <cell r="A14" t="str">
            <v>Dividends received</v>
          </cell>
          <cell r="J14">
            <v>0</v>
          </cell>
          <cell r="K14">
            <v>0</v>
          </cell>
          <cell r="L14">
            <v>0</v>
          </cell>
        </row>
        <row r="15">
          <cell r="A15" t="str">
            <v>Fines, penalties and forfeits</v>
          </cell>
          <cell r="J15">
            <v>1262400</v>
          </cell>
          <cell r="K15">
            <v>1330570</v>
          </cell>
          <cell r="L15">
            <v>1402420</v>
          </cell>
        </row>
        <row r="16">
          <cell r="A16" t="str">
            <v>Licences and permits</v>
          </cell>
          <cell r="J16">
            <v>23864625</v>
          </cell>
          <cell r="K16">
            <v>25153315</v>
          </cell>
          <cell r="L16">
            <v>26511594</v>
          </cell>
        </row>
        <row r="17">
          <cell r="A17" t="str">
            <v>Agency services</v>
          </cell>
          <cell r="J17">
            <v>2289167</v>
          </cell>
          <cell r="K17">
            <v>2412782</v>
          </cell>
          <cell r="L17">
            <v>2543072</v>
          </cell>
        </row>
        <row r="18">
          <cell r="A18" t="str">
            <v>Transfers and subsidies</v>
          </cell>
          <cell r="J18">
            <v>281624000</v>
          </cell>
          <cell r="K18">
            <v>300105000</v>
          </cell>
          <cell r="L18">
            <v>321890000</v>
          </cell>
        </row>
        <row r="19">
          <cell r="A19" t="str">
            <v>Other revenue</v>
          </cell>
          <cell r="J19">
            <v>14747535</v>
          </cell>
          <cell r="K19">
            <v>15543903</v>
          </cell>
          <cell r="L19">
            <v>16383272</v>
          </cell>
        </row>
        <row r="20">
          <cell r="A20" t="str">
            <v>Gains on disposal of PPE</v>
          </cell>
          <cell r="J20">
            <v>607004</v>
          </cell>
          <cell r="K20">
            <v>639782</v>
          </cell>
          <cell r="L20">
            <v>674330</v>
          </cell>
        </row>
        <row r="21">
          <cell r="A21" t="str">
            <v>Total Revenue (excluding capital transfers and contributions)</v>
          </cell>
        </row>
        <row r="23">
          <cell r="A23" t="str">
            <v>Expenditure By Type</v>
          </cell>
        </row>
        <row r="24">
          <cell r="A24" t="str">
            <v>Employee related costs</v>
          </cell>
          <cell r="J24">
            <v>107636135</v>
          </cell>
          <cell r="K24">
            <v>115063029</v>
          </cell>
          <cell r="L24">
            <v>123002381</v>
          </cell>
        </row>
        <row r="25">
          <cell r="A25" t="str">
            <v>Remuneration of councillors</v>
          </cell>
          <cell r="J25">
            <v>24071901</v>
          </cell>
          <cell r="K25">
            <v>25371784</v>
          </cell>
          <cell r="L25">
            <v>26741860</v>
          </cell>
        </row>
        <row r="26">
          <cell r="A26" t="str">
            <v>Debt impairment</v>
          </cell>
          <cell r="J26">
            <v>2058364</v>
          </cell>
          <cell r="K26">
            <v>2169516</v>
          </cell>
          <cell r="L26">
            <v>2286670</v>
          </cell>
        </row>
        <row r="27">
          <cell r="A27" t="str">
            <v>Depreciation &amp; asset impairment</v>
          </cell>
          <cell r="J27">
            <v>6251207</v>
          </cell>
          <cell r="K27">
            <v>6588772</v>
          </cell>
          <cell r="L27">
            <v>6944565</v>
          </cell>
        </row>
        <row r="28">
          <cell r="A28" t="str">
            <v>Finance charges</v>
          </cell>
          <cell r="J28">
            <v>0</v>
          </cell>
          <cell r="K28">
            <v>0</v>
          </cell>
          <cell r="L28">
            <v>0</v>
          </cell>
        </row>
        <row r="29">
          <cell r="A29" t="str">
            <v>Bulk purchases</v>
          </cell>
          <cell r="J29">
            <v>17985580</v>
          </cell>
          <cell r="K29">
            <v>18956801</v>
          </cell>
          <cell r="L29">
            <v>19980468</v>
          </cell>
        </row>
        <row r="30">
          <cell r="A30" t="str">
            <v>Other materials</v>
          </cell>
          <cell r="J30">
            <v>0</v>
          </cell>
          <cell r="K30">
            <v>0</v>
          </cell>
          <cell r="L30">
            <v>0</v>
          </cell>
        </row>
        <row r="31">
          <cell r="A31" t="str">
            <v>Contracted services</v>
          </cell>
          <cell r="J31">
            <v>19459626</v>
          </cell>
          <cell r="K31">
            <v>20510449</v>
          </cell>
          <cell r="L31">
            <v>21618010</v>
          </cell>
        </row>
        <row r="32">
          <cell r="A32" t="str">
            <v>Transfers and subsidies</v>
          </cell>
          <cell r="J32">
            <v>0</v>
          </cell>
          <cell r="K32">
            <v>0</v>
          </cell>
          <cell r="L32">
            <v>0</v>
          </cell>
        </row>
        <row r="33">
          <cell r="A33" t="str">
            <v>Other expenditure</v>
          </cell>
          <cell r="J33">
            <v>131125409</v>
          </cell>
          <cell r="K33">
            <v>120844965</v>
          </cell>
          <cell r="L33">
            <v>127437176</v>
          </cell>
        </row>
        <row r="34">
          <cell r="A34" t="str">
            <v>Loss on disposal of PPE</v>
          </cell>
          <cell r="J34">
            <v>0</v>
          </cell>
          <cell r="K34">
            <v>0</v>
          </cell>
          <cell r="L34">
            <v>0</v>
          </cell>
        </row>
        <row r="35">
          <cell r="A35" t="str">
            <v>Total Expenditure</v>
          </cell>
          <cell r="C35">
            <v>189518607</v>
          </cell>
          <cell r="D35">
            <v>230489996</v>
          </cell>
          <cell r="E35">
            <v>247665393</v>
          </cell>
          <cell r="F35">
            <v>223430361.3624</v>
          </cell>
          <cell r="G35">
            <v>275463466.06239998</v>
          </cell>
          <cell r="H35">
            <v>275463466.06239998</v>
          </cell>
          <cell r="J35">
            <v>308588222</v>
          </cell>
          <cell r="K35">
            <v>309505316</v>
          </cell>
          <cell r="L35">
            <v>328011130</v>
          </cell>
        </row>
        <row r="37">
          <cell r="A37" t="str">
            <v>Surplus/(Deficit)</v>
          </cell>
        </row>
        <row r="38">
          <cell r="A38" t="str">
            <v>Transfers and subsidies - capital (monetary allocations) (National / Provincial and District)</v>
          </cell>
          <cell r="J38">
            <v>57608000</v>
          </cell>
          <cell r="K38">
            <v>67783000</v>
          </cell>
          <cell r="L38">
            <v>72351000</v>
          </cell>
        </row>
        <row r="41">
          <cell r="A41" t="str">
            <v>Surplus/(Deficit) after capital transfers &amp; contributions</v>
          </cell>
        </row>
        <row r="42">
          <cell r="A42" t="str">
            <v>Taxation</v>
          </cell>
          <cell r="J42">
            <v>0</v>
          </cell>
          <cell r="K42">
            <v>0</v>
          </cell>
          <cell r="L42">
            <v>0</v>
          </cell>
        </row>
        <row r="44">
          <cell r="A44" t="str">
            <v>Attributable to minorities</v>
          </cell>
          <cell r="J44">
            <v>0</v>
          </cell>
          <cell r="K44">
            <v>0</v>
          </cell>
          <cell r="L44">
            <v>0</v>
          </cell>
        </row>
        <row r="46">
          <cell r="A46" t="str">
            <v>Share of surplus/ (deficit) of associate</v>
          </cell>
          <cell r="J46">
            <v>0</v>
          </cell>
          <cell r="K46">
            <v>0</v>
          </cell>
          <cell r="L46">
            <v>0</v>
          </cell>
        </row>
        <row r="47">
          <cell r="J47">
            <v>151554221</v>
          </cell>
          <cell r="K47">
            <v>185822292</v>
          </cell>
          <cell r="L47">
            <v>200551216</v>
          </cell>
        </row>
        <row r="59">
          <cell r="C59">
            <v>345723035</v>
          </cell>
          <cell r="D59">
            <v>320569179</v>
          </cell>
          <cell r="E59">
            <v>344212945</v>
          </cell>
          <cell r="F59">
            <v>402707680.23000002</v>
          </cell>
          <cell r="G59">
            <v>469124881.23000002</v>
          </cell>
          <cell r="H59">
            <v>469124881.23000002</v>
          </cell>
          <cell r="J59">
            <v>460142443</v>
          </cell>
          <cell r="K59">
            <v>495327608</v>
          </cell>
          <cell r="L59">
            <v>528562346</v>
          </cell>
        </row>
      </sheetData>
      <sheetData sheetId="12">
        <row r="6">
          <cell r="A6" t="str">
            <v>Vote 1 - Executive &amp; Council</v>
          </cell>
          <cell r="J6">
            <v>0</v>
          </cell>
          <cell r="K6">
            <v>0</v>
          </cell>
          <cell r="L6">
            <v>0</v>
          </cell>
        </row>
        <row r="7">
          <cell r="A7" t="str">
            <v>Vote 2 - Finance and Administration</v>
          </cell>
          <cell r="J7">
            <v>0</v>
          </cell>
          <cell r="K7">
            <v>0</v>
          </cell>
          <cell r="L7">
            <v>0</v>
          </cell>
        </row>
        <row r="8">
          <cell r="A8" t="str">
            <v>Vote 3 - Internal Audit</v>
          </cell>
          <cell r="J8">
            <v>0</v>
          </cell>
          <cell r="K8">
            <v>0</v>
          </cell>
          <cell r="L8">
            <v>0</v>
          </cell>
        </row>
        <row r="9">
          <cell r="A9" t="str">
            <v>Vote 4 - Community and Public Safety</v>
          </cell>
          <cell r="J9">
            <v>3100000</v>
          </cell>
          <cell r="K9">
            <v>3900000</v>
          </cell>
          <cell r="L9">
            <v>0</v>
          </cell>
        </row>
        <row r="10">
          <cell r="A10" t="str">
            <v>Vote 5 - Sports and Recreation</v>
          </cell>
          <cell r="J10">
            <v>43635415</v>
          </cell>
          <cell r="K10">
            <v>38582889</v>
          </cell>
          <cell r="L10">
            <v>21681111</v>
          </cell>
        </row>
        <row r="11">
          <cell r="A11" t="str">
            <v>Vote 6 - Housing</v>
          </cell>
          <cell r="J11">
            <v>0</v>
          </cell>
          <cell r="K11">
            <v>0</v>
          </cell>
          <cell r="L11">
            <v>0</v>
          </cell>
        </row>
        <row r="12">
          <cell r="A12" t="str">
            <v xml:space="preserve">Vote 7 - Planning and development </v>
          </cell>
          <cell r="J12">
            <v>0</v>
          </cell>
          <cell r="K12">
            <v>0</v>
          </cell>
          <cell r="L12">
            <v>0</v>
          </cell>
        </row>
        <row r="13">
          <cell r="A13" t="str">
            <v>Vote 8 - Road Transport</v>
          </cell>
          <cell r="J13">
            <v>56740758</v>
          </cell>
          <cell r="K13">
            <v>126765055</v>
          </cell>
          <cell r="L13">
            <v>141871156</v>
          </cell>
        </row>
        <row r="14">
          <cell r="A14" t="str">
            <v>Vote 9 - Energy Sources</v>
          </cell>
          <cell r="J14">
            <v>0</v>
          </cell>
          <cell r="K14">
            <v>0</v>
          </cell>
          <cell r="L14">
            <v>0</v>
          </cell>
        </row>
        <row r="15">
          <cell r="A15" t="str">
            <v>Vote 10 - Waste Water Management</v>
          </cell>
          <cell r="J15">
            <v>0</v>
          </cell>
          <cell r="K15">
            <v>0</v>
          </cell>
          <cell r="L15">
            <v>0</v>
          </cell>
        </row>
        <row r="16">
          <cell r="A16" t="str">
            <v>Vote 11 - Waste Management</v>
          </cell>
          <cell r="J16">
            <v>0</v>
          </cell>
          <cell r="K16">
            <v>0</v>
          </cell>
          <cell r="L16">
            <v>0</v>
          </cell>
        </row>
        <row r="17">
          <cell r="A17" t="str">
            <v>Vote 12 - [NAME OF VOTE 12]</v>
          </cell>
          <cell r="J17">
            <v>0</v>
          </cell>
          <cell r="K17">
            <v>0</v>
          </cell>
          <cell r="L17">
            <v>0</v>
          </cell>
        </row>
        <row r="18">
          <cell r="A18" t="str">
            <v>Vote 13 - [NAME OF VOTE 13]</v>
          </cell>
          <cell r="J18">
            <v>0</v>
          </cell>
          <cell r="K18">
            <v>0</v>
          </cell>
          <cell r="L18">
            <v>0</v>
          </cell>
        </row>
        <row r="19">
          <cell r="A19" t="str">
            <v>Vote 14 - [NAME OF VOTE 14]</v>
          </cell>
          <cell r="J19">
            <v>0</v>
          </cell>
          <cell r="K19">
            <v>0</v>
          </cell>
          <cell r="L19">
            <v>0</v>
          </cell>
        </row>
        <row r="20">
          <cell r="A20" t="str">
            <v>Vote 15 - [NAME OF VOTE 15]</v>
          </cell>
          <cell r="J20">
            <v>0</v>
          </cell>
          <cell r="K20">
            <v>0</v>
          </cell>
          <cell r="L20">
            <v>0</v>
          </cell>
        </row>
        <row r="21">
          <cell r="J21">
            <v>103476173</v>
          </cell>
          <cell r="K21">
            <v>169247944</v>
          </cell>
          <cell r="L21">
            <v>163552267</v>
          </cell>
        </row>
        <row r="24">
          <cell r="A24" t="str">
            <v>Vote 1 - Executive &amp; Council</v>
          </cell>
          <cell r="J24">
            <v>525000</v>
          </cell>
          <cell r="K24">
            <v>0</v>
          </cell>
          <cell r="L24">
            <v>0</v>
          </cell>
        </row>
        <row r="25">
          <cell r="A25" t="str">
            <v>Vote 2 - Finance and Administration</v>
          </cell>
          <cell r="J25">
            <v>4417000</v>
          </cell>
          <cell r="K25">
            <v>0</v>
          </cell>
          <cell r="L25">
            <v>0</v>
          </cell>
        </row>
        <row r="26">
          <cell r="A26" t="str">
            <v>Vote 3 - Internal Audit</v>
          </cell>
          <cell r="J26">
            <v>0</v>
          </cell>
          <cell r="K26">
            <v>0</v>
          </cell>
          <cell r="L26">
            <v>0</v>
          </cell>
        </row>
        <row r="27">
          <cell r="A27" t="str">
            <v>Vote 4 - Community and Public Safety</v>
          </cell>
          <cell r="J27">
            <v>1863000</v>
          </cell>
          <cell r="K27">
            <v>0</v>
          </cell>
          <cell r="L27">
            <v>0</v>
          </cell>
        </row>
        <row r="28">
          <cell r="A28" t="str">
            <v>Vote 5 - Sports and Recreation</v>
          </cell>
          <cell r="J28">
            <v>0</v>
          </cell>
          <cell r="K28">
            <v>0</v>
          </cell>
          <cell r="L28">
            <v>0</v>
          </cell>
        </row>
        <row r="29">
          <cell r="A29" t="str">
            <v>Vote 6 - Housing</v>
          </cell>
          <cell r="J29">
            <v>0</v>
          </cell>
          <cell r="K29">
            <v>0</v>
          </cell>
          <cell r="L29">
            <v>0</v>
          </cell>
        </row>
        <row r="30">
          <cell r="A30" t="str">
            <v xml:space="preserve">Vote 7 - Planning and development </v>
          </cell>
          <cell r="J30">
            <v>0</v>
          </cell>
          <cell r="K30">
            <v>0</v>
          </cell>
          <cell r="L30">
            <v>0</v>
          </cell>
        </row>
        <row r="31">
          <cell r="A31" t="str">
            <v>Vote 8 - Road Transport</v>
          </cell>
          <cell r="J31">
            <v>15643047</v>
          </cell>
          <cell r="K31">
            <v>3747986</v>
          </cell>
          <cell r="L31">
            <v>3998733</v>
          </cell>
        </row>
        <row r="32">
          <cell r="A32" t="str">
            <v>Vote 9 - Energy Sources</v>
          </cell>
          <cell r="J32">
            <v>15100000</v>
          </cell>
          <cell r="K32">
            <v>9500000</v>
          </cell>
          <cell r="L32">
            <v>17491920</v>
          </cell>
        </row>
        <row r="33">
          <cell r="A33" t="str">
            <v>Vote 10 - Waste Water Management</v>
          </cell>
          <cell r="J33">
            <v>3680000</v>
          </cell>
          <cell r="K33">
            <v>3326364</v>
          </cell>
          <cell r="L33">
            <v>15508298</v>
          </cell>
        </row>
        <row r="34">
          <cell r="A34" t="str">
            <v>Vote 11 - Waste Management</v>
          </cell>
          <cell r="J34">
            <v>6850000</v>
          </cell>
          <cell r="K34">
            <v>0</v>
          </cell>
          <cell r="L34">
            <v>0</v>
          </cell>
        </row>
        <row r="35">
          <cell r="A35" t="str">
            <v>Vote 12 - [NAME OF VOTE 12]</v>
          </cell>
          <cell r="J35">
            <v>0</v>
          </cell>
          <cell r="K35">
            <v>0</v>
          </cell>
          <cell r="L35">
            <v>0</v>
          </cell>
        </row>
        <row r="36">
          <cell r="A36" t="str">
            <v>Vote 13 - [NAME OF VOTE 13]</v>
          </cell>
          <cell r="J36">
            <v>0</v>
          </cell>
          <cell r="K36">
            <v>0</v>
          </cell>
          <cell r="L36">
            <v>0</v>
          </cell>
        </row>
        <row r="37">
          <cell r="A37" t="str">
            <v>Vote 14 - [NAME OF VOTE 14]</v>
          </cell>
          <cell r="J37">
            <v>0</v>
          </cell>
          <cell r="K37">
            <v>0</v>
          </cell>
          <cell r="L37">
            <v>0</v>
          </cell>
        </row>
        <row r="38">
          <cell r="A38" t="str">
            <v>Vote 15 - [NAME OF VOTE 15]</v>
          </cell>
          <cell r="J38">
            <v>0</v>
          </cell>
          <cell r="K38">
            <v>0</v>
          </cell>
          <cell r="L38">
            <v>0</v>
          </cell>
        </row>
      </sheetData>
      <sheetData sheetId="13">
        <row r="6">
          <cell r="A6" t="str">
            <v>Vote 1 - Executive &amp; Council</v>
          </cell>
          <cell r="C6">
            <v>0</v>
          </cell>
          <cell r="D6">
            <v>0</v>
          </cell>
          <cell r="E6">
            <v>0</v>
          </cell>
          <cell r="F6">
            <v>0</v>
          </cell>
          <cell r="G6">
            <v>0</v>
          </cell>
          <cell r="H6">
            <v>0</v>
          </cell>
          <cell r="I6">
            <v>0</v>
          </cell>
          <cell r="J6">
            <v>0</v>
          </cell>
          <cell r="K6">
            <v>0</v>
          </cell>
          <cell r="L6">
            <v>0</v>
          </cell>
        </row>
        <row r="17">
          <cell r="A17" t="str">
            <v>Vote 2 - Finance and Administration</v>
          </cell>
          <cell r="C17">
            <v>0</v>
          </cell>
          <cell r="D17">
            <v>0</v>
          </cell>
          <cell r="E17">
            <v>0</v>
          </cell>
          <cell r="F17">
            <v>0</v>
          </cell>
          <cell r="G17">
            <v>0</v>
          </cell>
          <cell r="H17">
            <v>0</v>
          </cell>
          <cell r="I17">
            <v>0</v>
          </cell>
          <cell r="J17">
            <v>0</v>
          </cell>
          <cell r="K17">
            <v>0</v>
          </cell>
          <cell r="L17">
            <v>0</v>
          </cell>
        </row>
        <row r="28">
          <cell r="A28" t="str">
            <v>Vote 3 - Internal Audit</v>
          </cell>
          <cell r="C28">
            <v>0</v>
          </cell>
          <cell r="D28">
            <v>0</v>
          </cell>
          <cell r="E28">
            <v>0</v>
          </cell>
          <cell r="F28">
            <v>0</v>
          </cell>
          <cell r="G28">
            <v>0</v>
          </cell>
          <cell r="H28">
            <v>0</v>
          </cell>
          <cell r="I28">
            <v>0</v>
          </cell>
          <cell r="J28">
            <v>0</v>
          </cell>
          <cell r="K28">
            <v>0</v>
          </cell>
          <cell r="L28">
            <v>0</v>
          </cell>
        </row>
        <row r="39">
          <cell r="A39" t="str">
            <v>Vote 4 - Community and Public Safety</v>
          </cell>
          <cell r="C39">
            <v>9816354</v>
          </cell>
          <cell r="D39">
            <v>18440000</v>
          </cell>
          <cell r="E39">
            <v>8865104</v>
          </cell>
          <cell r="F39">
            <v>3218446</v>
          </cell>
          <cell r="G39">
            <v>1718446</v>
          </cell>
          <cell r="H39">
            <v>1718446</v>
          </cell>
          <cell r="I39">
            <v>1718446</v>
          </cell>
          <cell r="J39">
            <v>3100000</v>
          </cell>
          <cell r="K39">
            <v>3900000</v>
          </cell>
          <cell r="L39">
            <v>0</v>
          </cell>
        </row>
        <row r="50">
          <cell r="A50" t="str">
            <v>Vote 5 - Sports and Recreation</v>
          </cell>
          <cell r="C50">
            <v>3193643</v>
          </cell>
          <cell r="D50">
            <v>6740167</v>
          </cell>
          <cell r="E50">
            <v>46132125</v>
          </cell>
          <cell r="F50">
            <v>63505497</v>
          </cell>
          <cell r="G50">
            <v>66671312</v>
          </cell>
          <cell r="H50">
            <v>66671312</v>
          </cell>
          <cell r="I50">
            <v>66671312</v>
          </cell>
          <cell r="J50">
            <v>43635415</v>
          </cell>
          <cell r="K50">
            <v>38582889</v>
          </cell>
          <cell r="L50">
            <v>21681111</v>
          </cell>
        </row>
        <row r="61">
          <cell r="A61" t="str">
            <v>Vote 6 - Housing</v>
          </cell>
          <cell r="C61">
            <v>0</v>
          </cell>
          <cell r="D61">
            <v>0</v>
          </cell>
          <cell r="E61">
            <v>0</v>
          </cell>
          <cell r="F61">
            <v>0</v>
          </cell>
          <cell r="G61">
            <v>0</v>
          </cell>
          <cell r="H61">
            <v>0</v>
          </cell>
          <cell r="I61">
            <v>0</v>
          </cell>
          <cell r="J61">
            <v>0</v>
          </cell>
          <cell r="K61">
            <v>0</v>
          </cell>
          <cell r="L61">
            <v>0</v>
          </cell>
        </row>
        <row r="72">
          <cell r="A72" t="str">
            <v xml:space="preserve">Vote 7 - Planning and development </v>
          </cell>
          <cell r="C72">
            <v>4111760</v>
          </cell>
          <cell r="D72">
            <v>0</v>
          </cell>
          <cell r="E72">
            <v>0</v>
          </cell>
          <cell r="F72">
            <v>0</v>
          </cell>
          <cell r="G72">
            <v>0</v>
          </cell>
          <cell r="H72">
            <v>0</v>
          </cell>
          <cell r="I72">
            <v>0</v>
          </cell>
          <cell r="J72">
            <v>0</v>
          </cell>
          <cell r="K72">
            <v>0</v>
          </cell>
          <cell r="L72">
            <v>0</v>
          </cell>
        </row>
        <row r="83">
          <cell r="A83" t="str">
            <v>Vote 8 - Road Transport</v>
          </cell>
          <cell r="C83">
            <v>135906114</v>
          </cell>
          <cell r="D83">
            <v>56929000</v>
          </cell>
          <cell r="E83">
            <v>0</v>
          </cell>
          <cell r="F83">
            <v>57269303.810000002</v>
          </cell>
          <cell r="G83">
            <v>60856960.810000002</v>
          </cell>
          <cell r="H83">
            <v>60856960.810000002</v>
          </cell>
          <cell r="I83">
            <v>60856960.810000002</v>
          </cell>
          <cell r="J83">
            <v>56740758</v>
          </cell>
          <cell r="K83">
            <v>126765055</v>
          </cell>
          <cell r="L83">
            <v>141871156</v>
          </cell>
        </row>
        <row r="94">
          <cell r="A94" t="str">
            <v>Vote 9 - Energy Sources</v>
          </cell>
          <cell r="C94">
            <v>0</v>
          </cell>
          <cell r="D94">
            <v>0</v>
          </cell>
          <cell r="E94">
            <v>55248315</v>
          </cell>
          <cell r="F94">
            <v>0</v>
          </cell>
          <cell r="G94">
            <v>0</v>
          </cell>
          <cell r="H94">
            <v>0</v>
          </cell>
          <cell r="I94">
            <v>0</v>
          </cell>
          <cell r="J94">
            <v>0</v>
          </cell>
          <cell r="K94">
            <v>0</v>
          </cell>
          <cell r="L94">
            <v>0</v>
          </cell>
        </row>
        <row r="105">
          <cell r="A105" t="str">
            <v>Vote 10 - Waste Water Management</v>
          </cell>
          <cell r="C105">
            <v>0</v>
          </cell>
          <cell r="D105">
            <v>0</v>
          </cell>
          <cell r="E105">
            <v>0</v>
          </cell>
          <cell r="F105">
            <v>0</v>
          </cell>
          <cell r="G105">
            <v>0</v>
          </cell>
          <cell r="H105">
            <v>0</v>
          </cell>
          <cell r="I105">
            <v>0</v>
          </cell>
          <cell r="J105">
            <v>0</v>
          </cell>
          <cell r="K105">
            <v>0</v>
          </cell>
          <cell r="L105">
            <v>0</v>
          </cell>
        </row>
        <row r="116">
          <cell r="A116" t="str">
            <v>Vote 11 - Waste Management</v>
          </cell>
          <cell r="C116">
            <v>0</v>
          </cell>
          <cell r="D116">
            <v>0</v>
          </cell>
          <cell r="E116">
            <v>0</v>
          </cell>
          <cell r="F116">
            <v>0</v>
          </cell>
          <cell r="G116">
            <v>0</v>
          </cell>
          <cell r="H116">
            <v>0</v>
          </cell>
          <cell r="I116">
            <v>0</v>
          </cell>
          <cell r="J116">
            <v>0</v>
          </cell>
          <cell r="K116">
            <v>0</v>
          </cell>
          <cell r="L116">
            <v>0</v>
          </cell>
        </row>
        <row r="127">
          <cell r="A127" t="str">
            <v>Vote 12 - [NAME OF VOTE 12]</v>
          </cell>
          <cell r="C127">
            <v>0</v>
          </cell>
          <cell r="D127">
            <v>0</v>
          </cell>
          <cell r="E127">
            <v>0</v>
          </cell>
          <cell r="F127">
            <v>0</v>
          </cell>
          <cell r="G127">
            <v>0</v>
          </cell>
          <cell r="H127">
            <v>0</v>
          </cell>
          <cell r="I127">
            <v>0</v>
          </cell>
          <cell r="J127">
            <v>0</v>
          </cell>
          <cell r="K127">
            <v>0</v>
          </cell>
          <cell r="L127">
            <v>0</v>
          </cell>
        </row>
        <row r="138">
          <cell r="A138" t="str">
            <v>Vote 13 - [NAME OF VOTE 13]</v>
          </cell>
          <cell r="C138">
            <v>0</v>
          </cell>
          <cell r="D138">
            <v>0</v>
          </cell>
          <cell r="E138">
            <v>0</v>
          </cell>
          <cell r="F138">
            <v>0</v>
          </cell>
          <cell r="G138">
            <v>0</v>
          </cell>
          <cell r="H138">
            <v>0</v>
          </cell>
          <cell r="I138">
            <v>0</v>
          </cell>
          <cell r="J138">
            <v>0</v>
          </cell>
          <cell r="K138">
            <v>0</v>
          </cell>
          <cell r="L138">
            <v>0</v>
          </cell>
        </row>
        <row r="149">
          <cell r="A149" t="str">
            <v>Vote 14 - [NAME OF VOTE 14]</v>
          </cell>
          <cell r="C149">
            <v>0</v>
          </cell>
          <cell r="D149">
            <v>0</v>
          </cell>
          <cell r="E149">
            <v>0</v>
          </cell>
          <cell r="F149">
            <v>0</v>
          </cell>
          <cell r="G149">
            <v>0</v>
          </cell>
          <cell r="H149">
            <v>0</v>
          </cell>
          <cell r="I149">
            <v>0</v>
          </cell>
          <cell r="J149">
            <v>0</v>
          </cell>
          <cell r="K149">
            <v>0</v>
          </cell>
          <cell r="L149">
            <v>0</v>
          </cell>
        </row>
        <row r="160">
          <cell r="A160" t="str">
            <v>Vote 15 - [NAME OF VOTE 15]</v>
          </cell>
          <cell r="C160">
            <v>0</v>
          </cell>
          <cell r="D160">
            <v>0</v>
          </cell>
          <cell r="E160">
            <v>0</v>
          </cell>
          <cell r="F160">
            <v>0</v>
          </cell>
          <cell r="G160">
            <v>0</v>
          </cell>
          <cell r="H160">
            <v>0</v>
          </cell>
          <cell r="I160">
            <v>0</v>
          </cell>
          <cell r="J160">
            <v>0</v>
          </cell>
          <cell r="K160">
            <v>0</v>
          </cell>
          <cell r="L160">
            <v>0</v>
          </cell>
        </row>
        <row r="175">
          <cell r="C175">
            <v>0</v>
          </cell>
          <cell r="D175">
            <v>0</v>
          </cell>
          <cell r="E175">
            <v>1959142</v>
          </cell>
          <cell r="F175">
            <v>0</v>
          </cell>
          <cell r="G175">
            <v>0</v>
          </cell>
          <cell r="H175">
            <v>0</v>
          </cell>
          <cell r="I175">
            <v>0</v>
          </cell>
          <cell r="J175">
            <v>525000</v>
          </cell>
          <cell r="K175">
            <v>0</v>
          </cell>
          <cell r="L175">
            <v>0</v>
          </cell>
        </row>
        <row r="186">
          <cell r="C186">
            <v>1631093</v>
          </cell>
          <cell r="D186">
            <v>3922000</v>
          </cell>
          <cell r="E186">
            <v>1653375</v>
          </cell>
          <cell r="F186">
            <v>7086000</v>
          </cell>
          <cell r="G186">
            <v>6419665</v>
          </cell>
          <cell r="H186">
            <v>6419665</v>
          </cell>
          <cell r="I186">
            <v>6419665</v>
          </cell>
          <cell r="J186">
            <v>4417000</v>
          </cell>
          <cell r="K186">
            <v>0</v>
          </cell>
          <cell r="L186">
            <v>0</v>
          </cell>
        </row>
        <row r="197">
          <cell r="C197">
            <v>0</v>
          </cell>
          <cell r="D197">
            <v>0</v>
          </cell>
          <cell r="E197">
            <v>0</v>
          </cell>
          <cell r="F197">
            <v>0</v>
          </cell>
          <cell r="G197">
            <v>0</v>
          </cell>
          <cell r="H197">
            <v>0</v>
          </cell>
          <cell r="I197">
            <v>0</v>
          </cell>
          <cell r="J197">
            <v>0</v>
          </cell>
          <cell r="K197">
            <v>0</v>
          </cell>
          <cell r="L197">
            <v>0</v>
          </cell>
        </row>
        <row r="208">
          <cell r="C208">
            <v>314568</v>
          </cell>
          <cell r="D208">
            <v>0</v>
          </cell>
          <cell r="E208">
            <v>7226812</v>
          </cell>
          <cell r="F208">
            <v>400000</v>
          </cell>
          <cell r="G208">
            <v>400000</v>
          </cell>
          <cell r="H208">
            <v>400000</v>
          </cell>
          <cell r="I208">
            <v>400000</v>
          </cell>
          <cell r="J208">
            <v>1863000</v>
          </cell>
          <cell r="K208">
            <v>0</v>
          </cell>
          <cell r="L208">
            <v>0</v>
          </cell>
        </row>
        <row r="219">
          <cell r="C219">
            <v>104312</v>
          </cell>
          <cell r="D219">
            <v>0</v>
          </cell>
          <cell r="E219">
            <v>0</v>
          </cell>
          <cell r="F219">
            <v>0</v>
          </cell>
          <cell r="G219">
            <v>0</v>
          </cell>
          <cell r="H219">
            <v>0</v>
          </cell>
          <cell r="I219">
            <v>0</v>
          </cell>
          <cell r="J219">
            <v>0</v>
          </cell>
          <cell r="K219">
            <v>0</v>
          </cell>
          <cell r="L219">
            <v>0</v>
          </cell>
        </row>
        <row r="230">
          <cell r="C230">
            <v>0</v>
          </cell>
          <cell r="D230">
            <v>0</v>
          </cell>
          <cell r="E230">
            <v>0</v>
          </cell>
          <cell r="F230">
            <v>0</v>
          </cell>
          <cell r="G230">
            <v>0</v>
          </cell>
          <cell r="H230">
            <v>0</v>
          </cell>
          <cell r="I230">
            <v>0</v>
          </cell>
          <cell r="J230">
            <v>0</v>
          </cell>
          <cell r="K230">
            <v>0</v>
          </cell>
          <cell r="L230">
            <v>0</v>
          </cell>
        </row>
        <row r="241">
          <cell r="C241">
            <v>0</v>
          </cell>
          <cell r="D241">
            <v>1011000</v>
          </cell>
          <cell r="E241">
            <v>0</v>
          </cell>
          <cell r="F241">
            <v>0</v>
          </cell>
          <cell r="G241">
            <v>0</v>
          </cell>
          <cell r="H241">
            <v>0</v>
          </cell>
          <cell r="I241">
            <v>0</v>
          </cell>
          <cell r="J241">
            <v>0</v>
          </cell>
          <cell r="K241">
            <v>0</v>
          </cell>
          <cell r="L241">
            <v>0</v>
          </cell>
        </row>
        <row r="252">
          <cell r="C252">
            <v>15600255</v>
          </cell>
          <cell r="D252">
            <v>230000</v>
          </cell>
          <cell r="E252">
            <v>23092981</v>
          </cell>
          <cell r="F252">
            <v>17659306.260000002</v>
          </cell>
          <cell r="G252">
            <v>19529000.260000002</v>
          </cell>
          <cell r="H252">
            <v>19529000.260000002</v>
          </cell>
          <cell r="I252">
            <v>19529000.260000002</v>
          </cell>
          <cell r="J252">
            <v>15643047</v>
          </cell>
          <cell r="K252">
            <v>3747986</v>
          </cell>
          <cell r="L252">
            <v>3998733</v>
          </cell>
        </row>
        <row r="263">
          <cell r="C263">
            <v>3873785</v>
          </cell>
          <cell r="D263">
            <v>14080000</v>
          </cell>
          <cell r="E263">
            <v>13201925</v>
          </cell>
          <cell r="F263">
            <v>18334111.600000001</v>
          </cell>
          <cell r="G263">
            <v>26461367.600000001</v>
          </cell>
          <cell r="H263">
            <v>26461367.600000001</v>
          </cell>
          <cell r="I263">
            <v>26461367.600000001</v>
          </cell>
          <cell r="J263">
            <v>15100000</v>
          </cell>
          <cell r="K263">
            <v>9500000</v>
          </cell>
          <cell r="L263">
            <v>17491920</v>
          </cell>
        </row>
        <row r="274">
          <cell r="C274">
            <v>1638257</v>
          </cell>
          <cell r="D274">
            <v>0</v>
          </cell>
          <cell r="E274">
            <v>2278685</v>
          </cell>
          <cell r="F274">
            <v>5664654.4500000002</v>
          </cell>
          <cell r="G274">
            <v>6464654.4500000002</v>
          </cell>
          <cell r="H274">
            <v>6464654.4500000002</v>
          </cell>
          <cell r="I274">
            <v>6464654.4500000002</v>
          </cell>
          <cell r="J274">
            <v>3680000</v>
          </cell>
          <cell r="K274">
            <v>3326364</v>
          </cell>
          <cell r="L274">
            <v>15508298</v>
          </cell>
        </row>
        <row r="285">
          <cell r="C285">
            <v>52500</v>
          </cell>
          <cell r="D285">
            <v>3605000</v>
          </cell>
          <cell r="E285">
            <v>3160235</v>
          </cell>
          <cell r="F285">
            <v>6140000</v>
          </cell>
          <cell r="G285">
            <v>5140000</v>
          </cell>
          <cell r="H285">
            <v>5140000</v>
          </cell>
          <cell r="I285">
            <v>5140000</v>
          </cell>
          <cell r="J285">
            <v>6850000</v>
          </cell>
          <cell r="K285">
            <v>0</v>
          </cell>
          <cell r="L285">
            <v>0</v>
          </cell>
        </row>
        <row r="296">
          <cell r="C296">
            <v>0</v>
          </cell>
          <cell r="D296">
            <v>0</v>
          </cell>
          <cell r="E296">
            <v>0</v>
          </cell>
          <cell r="F296">
            <v>0</v>
          </cell>
          <cell r="G296">
            <v>0</v>
          </cell>
          <cell r="H296">
            <v>0</v>
          </cell>
          <cell r="I296">
            <v>0</v>
          </cell>
          <cell r="J296">
            <v>0</v>
          </cell>
          <cell r="K296">
            <v>0</v>
          </cell>
          <cell r="L296">
            <v>0</v>
          </cell>
        </row>
        <row r="307">
          <cell r="C307">
            <v>0</v>
          </cell>
          <cell r="D307">
            <v>0</v>
          </cell>
          <cell r="E307">
            <v>0</v>
          </cell>
          <cell r="F307">
            <v>0</v>
          </cell>
          <cell r="G307">
            <v>0</v>
          </cell>
          <cell r="H307">
            <v>0</v>
          </cell>
          <cell r="I307">
            <v>0</v>
          </cell>
          <cell r="J307">
            <v>0</v>
          </cell>
          <cell r="K307">
            <v>0</v>
          </cell>
          <cell r="L307">
            <v>0</v>
          </cell>
        </row>
        <row r="318">
          <cell r="C318">
            <v>0</v>
          </cell>
          <cell r="D318">
            <v>0</v>
          </cell>
          <cell r="E318">
            <v>0</v>
          </cell>
          <cell r="F318">
            <v>0</v>
          </cell>
          <cell r="G318">
            <v>0</v>
          </cell>
          <cell r="H318">
            <v>0</v>
          </cell>
          <cell r="I318">
            <v>0</v>
          </cell>
          <cell r="J318">
            <v>0</v>
          </cell>
          <cell r="K318">
            <v>0</v>
          </cell>
          <cell r="L318">
            <v>0</v>
          </cell>
        </row>
        <row r="329">
          <cell r="C329">
            <v>0</v>
          </cell>
          <cell r="D329">
            <v>0</v>
          </cell>
          <cell r="E329">
            <v>0</v>
          </cell>
          <cell r="F329">
            <v>0</v>
          </cell>
          <cell r="G329">
            <v>0</v>
          </cell>
          <cell r="H329">
            <v>0</v>
          </cell>
          <cell r="I329">
            <v>0</v>
          </cell>
          <cell r="J329">
            <v>0</v>
          </cell>
          <cell r="K329">
            <v>0</v>
          </cell>
          <cell r="L329">
            <v>0</v>
          </cell>
        </row>
      </sheetData>
      <sheetData sheetId="14"/>
      <sheetData sheetId="15"/>
      <sheetData sheetId="16"/>
      <sheetData sheetId="17"/>
      <sheetData sheetId="18"/>
      <sheetData sheetId="19"/>
      <sheetData sheetId="20">
        <row r="9">
          <cell r="C9">
            <v>8977594</v>
          </cell>
          <cell r="D9">
            <v>11845856</v>
          </cell>
          <cell r="E9">
            <v>8599768</v>
          </cell>
          <cell r="F9">
            <v>12255327.57</v>
          </cell>
          <cell r="G9">
            <v>16863286.57</v>
          </cell>
          <cell r="H9">
            <v>16863286.57</v>
          </cell>
          <cell r="I9">
            <v>16863286.57</v>
          </cell>
          <cell r="J9">
            <v>17740178</v>
          </cell>
          <cell r="K9">
            <v>18698147</v>
          </cell>
          <cell r="L9">
            <v>19707847</v>
          </cell>
        </row>
        <row r="15">
          <cell r="C15">
            <v>9282999</v>
          </cell>
          <cell r="D15">
            <v>9782575</v>
          </cell>
          <cell r="E15">
            <v>9667754</v>
          </cell>
          <cell r="F15">
            <v>12666643.210000001</v>
          </cell>
          <cell r="G15">
            <v>24474643.210000001</v>
          </cell>
          <cell r="H15">
            <v>24474643.210000001</v>
          </cell>
          <cell r="I15">
            <v>23428502.210000001</v>
          </cell>
          <cell r="J15">
            <v>25738909</v>
          </cell>
          <cell r="K15">
            <v>27128809</v>
          </cell>
          <cell r="L15">
            <v>28593766</v>
          </cell>
        </row>
        <row r="21">
          <cell r="C21">
            <v>0</v>
          </cell>
          <cell r="D21">
            <v>0</v>
          </cell>
          <cell r="E21">
            <v>0</v>
          </cell>
          <cell r="F21">
            <v>0</v>
          </cell>
          <cell r="G21">
            <v>0</v>
          </cell>
          <cell r="H21">
            <v>0</v>
          </cell>
          <cell r="I21">
            <v>0</v>
          </cell>
          <cell r="J21">
            <v>0</v>
          </cell>
          <cell r="K21">
            <v>0</v>
          </cell>
          <cell r="L21">
            <v>0</v>
          </cell>
        </row>
        <row r="27">
          <cell r="C27">
            <v>0</v>
          </cell>
          <cell r="D27">
            <v>0</v>
          </cell>
          <cell r="E27">
            <v>0</v>
          </cell>
          <cell r="F27">
            <v>0</v>
          </cell>
          <cell r="G27">
            <v>0</v>
          </cell>
          <cell r="H27">
            <v>0</v>
          </cell>
          <cell r="I27">
            <v>0</v>
          </cell>
          <cell r="J27">
            <v>0</v>
          </cell>
          <cell r="K27">
            <v>0</v>
          </cell>
          <cell r="L27">
            <v>0</v>
          </cell>
        </row>
        <row r="34">
          <cell r="C34">
            <v>3646541</v>
          </cell>
          <cell r="D34">
            <v>4053445</v>
          </cell>
          <cell r="E34">
            <v>4193295</v>
          </cell>
          <cell r="F34">
            <v>6243396.8199999994</v>
          </cell>
          <cell r="G34">
            <v>8243396.8199999994</v>
          </cell>
          <cell r="H34">
            <v>8243396.8199999994</v>
          </cell>
          <cell r="I34">
            <v>8243396.8199999994</v>
          </cell>
          <cell r="J34">
            <v>8672053</v>
          </cell>
          <cell r="K34">
            <v>9140344</v>
          </cell>
          <cell r="L34">
            <v>9633923</v>
          </cell>
        </row>
        <row r="49">
          <cell r="C49">
            <v>3280960</v>
          </cell>
          <cell r="D49">
            <v>1239860</v>
          </cell>
          <cell r="E49">
            <v>842364</v>
          </cell>
          <cell r="F49">
            <v>34785582.68</v>
          </cell>
          <cell r="G49">
            <v>37400569.68</v>
          </cell>
          <cell r="H49">
            <v>37400569.68</v>
          </cell>
          <cell r="I49">
            <v>37400569.68</v>
          </cell>
          <cell r="J49">
            <v>14747535</v>
          </cell>
          <cell r="K49">
            <v>15543903</v>
          </cell>
          <cell r="L49">
            <v>16383272</v>
          </cell>
        </row>
        <row r="67">
          <cell r="C67">
            <v>64406539</v>
          </cell>
          <cell r="D67">
            <v>68377015</v>
          </cell>
          <cell r="E67">
            <v>74714220</v>
          </cell>
          <cell r="F67">
            <v>78303797.25</v>
          </cell>
          <cell r="G67">
            <v>95266292.25</v>
          </cell>
          <cell r="H67">
            <v>95266292.25</v>
          </cell>
          <cell r="I67">
            <v>95266292.25</v>
          </cell>
          <cell r="J67">
            <v>107636135</v>
          </cell>
          <cell r="K67">
            <v>115063029</v>
          </cell>
          <cell r="L67">
            <v>123002381</v>
          </cell>
        </row>
        <row r="76">
          <cell r="C76">
            <v>0</v>
          </cell>
          <cell r="D76">
            <v>0</v>
          </cell>
          <cell r="E76">
            <v>0</v>
          </cell>
          <cell r="F76">
            <v>0</v>
          </cell>
          <cell r="G76">
            <v>0</v>
          </cell>
          <cell r="H76">
            <v>0</v>
          </cell>
          <cell r="I76">
            <v>0</v>
          </cell>
          <cell r="J76">
            <v>0</v>
          </cell>
          <cell r="K76">
            <v>0</v>
          </cell>
          <cell r="L76">
            <v>0</v>
          </cell>
        </row>
        <row r="83">
          <cell r="C83">
            <v>21569539</v>
          </cell>
          <cell r="D83">
            <v>31106428</v>
          </cell>
          <cell r="E83">
            <v>28680829</v>
          </cell>
          <cell r="F83">
            <v>5043379.8099999996</v>
          </cell>
          <cell r="G83">
            <v>5942210.8099999996</v>
          </cell>
          <cell r="H83">
            <v>5942210.8099999996</v>
          </cell>
          <cell r="I83">
            <v>5942210.8099999996</v>
          </cell>
          <cell r="J83">
            <v>6251207</v>
          </cell>
          <cell r="K83">
            <v>6588772</v>
          </cell>
          <cell r="L83">
            <v>6944565</v>
          </cell>
        </row>
        <row r="88">
          <cell r="C88">
            <v>8728768</v>
          </cell>
          <cell r="D88">
            <v>13029942</v>
          </cell>
          <cell r="E88">
            <v>14679655</v>
          </cell>
          <cell r="F88">
            <v>17096559</v>
          </cell>
          <cell r="G88">
            <v>17096559</v>
          </cell>
          <cell r="H88">
            <v>17096559</v>
          </cell>
          <cell r="I88">
            <v>17096559</v>
          </cell>
          <cell r="J88">
            <v>17985580</v>
          </cell>
          <cell r="K88">
            <v>18956801</v>
          </cell>
          <cell r="L88">
            <v>19980468</v>
          </cell>
        </row>
        <row r="93">
          <cell r="C93">
            <v>0</v>
          </cell>
          <cell r="D93">
            <v>0</v>
          </cell>
          <cell r="E93">
            <v>0</v>
          </cell>
          <cell r="F93">
            <v>0</v>
          </cell>
          <cell r="G93">
            <v>0</v>
          </cell>
          <cell r="H93">
            <v>0</v>
          </cell>
          <cell r="I93">
            <v>0</v>
          </cell>
          <cell r="J93">
            <v>0</v>
          </cell>
          <cell r="K93">
            <v>0</v>
          </cell>
          <cell r="L93">
            <v>0</v>
          </cell>
        </row>
        <row r="127">
          <cell r="C127">
            <v>9272936</v>
          </cell>
          <cell r="D127">
            <v>13404220</v>
          </cell>
          <cell r="E127">
            <v>13883089</v>
          </cell>
          <cell r="F127">
            <v>15119136.5024</v>
          </cell>
          <cell r="G127">
            <v>19376165.5024</v>
          </cell>
          <cell r="H127">
            <v>19376165.5024</v>
          </cell>
          <cell r="I127">
            <v>19376165.5024</v>
          </cell>
          <cell r="J127">
            <v>19459626</v>
          </cell>
          <cell r="K127">
            <v>20510449</v>
          </cell>
          <cell r="L127">
            <v>21618010</v>
          </cell>
        </row>
        <row r="157">
          <cell r="C157">
            <v>58298714</v>
          </cell>
          <cell r="D157">
            <v>61130028</v>
          </cell>
          <cell r="E157">
            <v>75634027</v>
          </cell>
          <cell r="F157">
            <v>83443013.609999999</v>
          </cell>
          <cell r="G157">
            <v>112943586.31</v>
          </cell>
          <cell r="H157">
            <v>112943586.31</v>
          </cell>
          <cell r="I157">
            <v>112943586.31</v>
          </cell>
          <cell r="J157">
            <v>131125409</v>
          </cell>
          <cell r="K157">
            <v>120844965</v>
          </cell>
          <cell r="L157">
            <v>127437176</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ow r="42">
          <cell r="A42" t="str">
            <v>Taxation</v>
          </cell>
          <cell r="O42">
            <v>0</v>
          </cell>
          <cell r="P42">
            <v>0</v>
          </cell>
          <cell r="Q42">
            <v>0</v>
          </cell>
        </row>
        <row r="43">
          <cell r="A43" t="str">
            <v>Attributable to minorities</v>
          </cell>
          <cell r="O43">
            <v>0</v>
          </cell>
          <cell r="P43">
            <v>0</v>
          </cell>
          <cell r="Q43">
            <v>0</v>
          </cell>
        </row>
      </sheetData>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B1-Sum"/>
      <sheetName val="B2-FinPerf SC"/>
      <sheetName val="B2B"/>
      <sheetName val="B3-FinPerf V"/>
      <sheetName val="B3B"/>
      <sheetName val="B4-FinPerf RE"/>
      <sheetName val="B5-Capex"/>
      <sheetName val="B5B"/>
      <sheetName val="B6-FinPos"/>
      <sheetName val="B7-CFlow"/>
      <sheetName val="B8-ResRecon"/>
      <sheetName val="B9-Asset"/>
      <sheetName val="B10-SerDel"/>
      <sheetName val="SB1"/>
      <sheetName val="SB2"/>
      <sheetName val="SB3"/>
      <sheetName val="SB4"/>
      <sheetName val="SB5"/>
      <sheetName val="SB6"/>
      <sheetName val="SB7"/>
      <sheetName val="SB8"/>
      <sheetName val="SB9"/>
      <sheetName val="SB10"/>
      <sheetName val="SB11"/>
      <sheetName val="SB12"/>
      <sheetName val="SB13"/>
      <sheetName val="SB14"/>
      <sheetName val="SB15"/>
      <sheetName val="SB16"/>
      <sheetName val="SB17"/>
      <sheetName val="SB18a"/>
      <sheetName val="SB18b"/>
      <sheetName val="SB18c"/>
      <sheetName val="SB18d"/>
      <sheetName val="SB18e"/>
      <sheetName val="SB19"/>
      <sheetName val="SB20"/>
      <sheetName val="COVER"/>
      <sheetName val="INDEX"/>
      <sheetName val="INTRO"/>
      <sheetName val="METHODOLOGY"/>
      <sheetName val="STRATEGY"/>
      <sheetName val="OPERATIONAL STRATEIES"/>
      <sheetName val="Table A3"/>
      <sheetName val="Table A4"/>
      <sheetName val="Table A5"/>
      <sheetName val="SA 26"/>
      <sheetName val="SA 27"/>
      <sheetName val="SA 28"/>
      <sheetName val="MTOD KPI"/>
      <sheetName val="BSD KPI"/>
      <sheetName val="LED KPI"/>
      <sheetName val="MFMV KPI"/>
      <sheetName val="GGPP KPI"/>
      <sheetName val="CWP 2019-2020"/>
      <sheetName val="MTOD Annextue A"/>
      <sheetName val="BSD Annexture B"/>
      <sheetName val="LED Annexture C"/>
      <sheetName val="MFMV Annexture D"/>
      <sheetName val="GGPP Annexture E"/>
      <sheetName val="SIGNATURES"/>
    </sheetNames>
    <sheetDataSet>
      <sheetData sheetId="0"/>
      <sheetData sheetId="1"/>
      <sheetData sheetId="2">
        <row r="22">
          <cell r="B22" t="str">
            <v>References</v>
          </cell>
        </row>
      </sheetData>
      <sheetData sheetId="3"/>
      <sheetData sheetId="4">
        <row r="2">
          <cell r="A2" t="str">
            <v>Vote 1 - Executive &amp; Council</v>
          </cell>
        </row>
      </sheetData>
      <sheetData sheetId="5"/>
      <sheetData sheetId="6"/>
      <sheetData sheetId="7"/>
      <sheetData sheetId="8"/>
      <sheetData sheetId="9">
        <row r="6">
          <cell r="A6" t="str">
            <v>Revenue by Vote</v>
          </cell>
        </row>
      </sheetData>
      <sheetData sheetId="10">
        <row r="7">
          <cell r="A7" t="str">
            <v>Vote 1 - Executive &amp; Council</v>
          </cell>
        </row>
      </sheetData>
      <sheetData sheetId="11">
        <row r="7">
          <cell r="K7">
            <v>16863286.57</v>
          </cell>
        </row>
      </sheetData>
      <sheetData sheetId="12">
        <row r="8">
          <cell r="A8" t="str">
            <v>Vote 1 - Executive &amp; Council</v>
          </cell>
        </row>
      </sheetData>
      <sheetData sheetId="13">
        <row r="8">
          <cell r="A8" t="str">
            <v>Vote 1 - Executive &amp; Council</v>
          </cell>
        </row>
      </sheetData>
      <sheetData sheetId="14"/>
      <sheetData sheetId="15"/>
      <sheetData sheetId="16"/>
      <sheetData sheetId="17"/>
      <sheetData sheetId="18"/>
      <sheetData sheetId="19">
        <row r="10">
          <cell r="C10">
            <v>12255327.57</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ow r="22">
          <cell r="B22"/>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3"/>
  <sheetViews>
    <sheetView view="pageBreakPreview" topLeftCell="C1" zoomScale="60" zoomScaleNormal="100" workbookViewId="0">
      <selection activeCell="P32" sqref="P32"/>
    </sheetView>
  </sheetViews>
  <sheetFormatPr defaultRowHeight="14.4" x14ac:dyDescent="0.3"/>
  <cols>
    <col min="14" max="14" width="24.33203125" customWidth="1"/>
  </cols>
  <sheetData>
    <row r="1" spans="1:14" x14ac:dyDescent="0.3">
      <c r="A1" s="12"/>
      <c r="B1" s="12"/>
      <c r="C1" s="12"/>
      <c r="D1" s="12"/>
      <c r="E1" s="12"/>
      <c r="F1" s="12"/>
      <c r="G1" s="12"/>
      <c r="H1" s="12"/>
      <c r="I1" s="12"/>
      <c r="J1" s="12"/>
      <c r="K1" s="12"/>
      <c r="L1" s="12"/>
      <c r="M1" s="12"/>
      <c r="N1" s="12"/>
    </row>
    <row r="2" spans="1:14" x14ac:dyDescent="0.3">
      <c r="A2" s="12"/>
      <c r="B2" s="12"/>
      <c r="C2" s="12"/>
      <c r="D2" s="12"/>
      <c r="E2" s="12"/>
      <c r="F2" s="12"/>
      <c r="G2" s="12"/>
      <c r="H2" s="12"/>
      <c r="I2" s="12"/>
      <c r="J2" s="12"/>
      <c r="K2" s="12"/>
      <c r="L2" s="12"/>
      <c r="M2" s="12"/>
      <c r="N2" s="12"/>
    </row>
    <row r="3" spans="1:14" x14ac:dyDescent="0.3">
      <c r="A3" s="12"/>
      <c r="B3" s="12"/>
      <c r="C3" s="12"/>
      <c r="D3" s="12"/>
      <c r="E3" s="12"/>
      <c r="F3" s="12"/>
      <c r="G3" s="12"/>
      <c r="H3" s="12"/>
      <c r="I3" s="12"/>
      <c r="J3" s="12"/>
      <c r="K3" s="12"/>
      <c r="L3" s="12"/>
      <c r="M3" s="12"/>
      <c r="N3" s="12"/>
    </row>
    <row r="4" spans="1:14" x14ac:dyDescent="0.3">
      <c r="A4" s="12"/>
      <c r="B4" s="12"/>
      <c r="C4" s="12"/>
      <c r="D4" s="12"/>
      <c r="E4" s="12"/>
      <c r="F4" s="12"/>
      <c r="G4" s="12"/>
      <c r="H4" s="12"/>
      <c r="I4" s="12"/>
      <c r="J4" s="12"/>
      <c r="K4" s="12"/>
      <c r="L4" s="12"/>
      <c r="M4" s="12"/>
      <c r="N4" s="12"/>
    </row>
    <row r="5" spans="1:14" x14ac:dyDescent="0.3">
      <c r="A5" s="12"/>
      <c r="B5" s="12"/>
      <c r="C5" s="12"/>
      <c r="D5" s="12"/>
      <c r="E5" s="12"/>
      <c r="F5" s="12"/>
      <c r="G5" s="12"/>
      <c r="H5" s="12"/>
      <c r="I5" s="12"/>
      <c r="J5" s="12"/>
      <c r="K5" s="12"/>
      <c r="L5" s="12"/>
      <c r="M5" s="12"/>
      <c r="N5" s="12"/>
    </row>
    <row r="6" spans="1:14" x14ac:dyDescent="0.3">
      <c r="A6" s="12"/>
      <c r="B6" s="12"/>
      <c r="C6" s="12"/>
      <c r="D6" s="12"/>
      <c r="E6" s="12"/>
      <c r="F6" s="12"/>
      <c r="G6" s="12"/>
      <c r="H6" s="12"/>
      <c r="I6" s="12"/>
      <c r="J6" s="12"/>
      <c r="K6" s="12"/>
      <c r="L6" s="12"/>
      <c r="M6" s="12"/>
      <c r="N6" s="12"/>
    </row>
    <row r="7" spans="1:14" x14ac:dyDescent="0.3">
      <c r="A7" s="12"/>
      <c r="B7" s="12"/>
      <c r="C7" s="12"/>
      <c r="D7" s="12"/>
      <c r="E7" s="12"/>
      <c r="F7" s="12"/>
      <c r="G7" s="12"/>
      <c r="H7" s="12"/>
      <c r="I7" s="12"/>
      <c r="J7" s="12"/>
      <c r="K7" s="12"/>
      <c r="L7" s="12"/>
      <c r="M7" s="12"/>
      <c r="N7" s="12"/>
    </row>
    <row r="8" spans="1:14" x14ac:dyDescent="0.3">
      <c r="A8" s="12"/>
      <c r="B8" s="12"/>
      <c r="C8" s="12"/>
      <c r="D8" s="12"/>
      <c r="E8" s="12"/>
      <c r="F8" s="12"/>
      <c r="G8" s="12"/>
      <c r="H8" s="12"/>
      <c r="I8" s="12"/>
      <c r="J8" s="12"/>
      <c r="K8" s="12"/>
      <c r="L8" s="12"/>
      <c r="M8" s="12"/>
      <c r="N8" s="12"/>
    </row>
    <row r="9" spans="1:14" x14ac:dyDescent="0.3">
      <c r="A9" s="12"/>
      <c r="B9" s="12"/>
      <c r="C9" s="12"/>
      <c r="D9" s="12"/>
      <c r="E9" s="12"/>
      <c r="F9" s="12"/>
      <c r="G9" s="12"/>
      <c r="H9" s="12"/>
      <c r="I9" s="12"/>
      <c r="J9" s="12"/>
      <c r="K9" s="12"/>
      <c r="L9" s="12"/>
      <c r="M9" s="12"/>
      <c r="N9" s="12"/>
    </row>
    <row r="10" spans="1:14" x14ac:dyDescent="0.3">
      <c r="A10" s="12"/>
      <c r="B10" s="12"/>
      <c r="C10" s="12"/>
      <c r="D10" s="12"/>
      <c r="E10" s="12"/>
      <c r="F10" s="12"/>
      <c r="G10" s="12"/>
      <c r="H10" s="12"/>
      <c r="I10" s="12"/>
      <c r="J10" s="12"/>
      <c r="K10" s="12"/>
      <c r="L10" s="12"/>
      <c r="M10" s="12"/>
      <c r="N10" s="12"/>
    </row>
    <row r="11" spans="1:14" x14ac:dyDescent="0.3">
      <c r="A11" s="12"/>
      <c r="B11" s="12"/>
      <c r="C11" s="12"/>
      <c r="D11" s="12"/>
      <c r="E11" s="12"/>
      <c r="F11" s="12"/>
      <c r="G11" s="12"/>
      <c r="H11" s="12"/>
      <c r="I11" s="12"/>
      <c r="J11" s="12"/>
      <c r="K11" s="12"/>
      <c r="L11" s="12"/>
      <c r="M11" s="12"/>
      <c r="N11" s="12"/>
    </row>
    <row r="12" spans="1:14" x14ac:dyDescent="0.3">
      <c r="A12" s="12"/>
      <c r="B12" s="12"/>
      <c r="C12" s="12"/>
      <c r="D12" s="12"/>
      <c r="E12" s="12"/>
      <c r="F12" s="12"/>
      <c r="G12" s="12"/>
      <c r="H12" s="12"/>
      <c r="I12" s="12"/>
      <c r="J12" s="12"/>
      <c r="K12" s="12"/>
      <c r="L12" s="12"/>
      <c r="M12" s="12"/>
      <c r="N12" s="12"/>
    </row>
    <row r="13" spans="1:14" x14ac:dyDescent="0.3">
      <c r="A13" s="12"/>
      <c r="B13" s="12"/>
      <c r="C13" s="12"/>
      <c r="D13" s="12"/>
      <c r="E13" s="12"/>
      <c r="F13" s="12"/>
      <c r="G13" s="12"/>
      <c r="H13" s="12"/>
      <c r="I13" s="12"/>
      <c r="J13" s="12"/>
      <c r="K13" s="12"/>
      <c r="L13" s="12"/>
      <c r="M13" s="12"/>
      <c r="N13" s="12"/>
    </row>
    <row r="14" spans="1:14" x14ac:dyDescent="0.3">
      <c r="A14" s="12"/>
      <c r="B14" s="12"/>
      <c r="C14" s="12"/>
      <c r="D14" s="12"/>
      <c r="E14" s="12"/>
      <c r="F14" s="12"/>
      <c r="G14" s="12"/>
      <c r="H14" s="12"/>
      <c r="I14" s="12"/>
      <c r="J14" s="12"/>
      <c r="K14" s="12"/>
      <c r="L14" s="12"/>
      <c r="M14" s="12"/>
      <c r="N14" s="12"/>
    </row>
    <row r="15" spans="1:14" x14ac:dyDescent="0.3">
      <c r="A15" s="12"/>
      <c r="B15" s="12"/>
      <c r="C15" s="12"/>
      <c r="D15" s="12"/>
      <c r="E15" s="12"/>
      <c r="F15" s="12"/>
      <c r="G15" s="12"/>
      <c r="H15" s="12"/>
      <c r="I15" s="12"/>
      <c r="J15" s="12"/>
      <c r="K15" s="12"/>
      <c r="L15" s="12"/>
      <c r="M15" s="12"/>
      <c r="N15" s="12"/>
    </row>
    <row r="16" spans="1:14" x14ac:dyDescent="0.3">
      <c r="A16" s="12"/>
      <c r="B16" s="12"/>
      <c r="C16" s="12"/>
      <c r="D16" s="12"/>
      <c r="E16" s="12"/>
      <c r="F16" s="12"/>
      <c r="G16" s="12"/>
      <c r="H16" s="12"/>
      <c r="I16" s="12"/>
      <c r="J16" s="12"/>
      <c r="K16" s="12"/>
      <c r="L16" s="12"/>
      <c r="M16" s="12"/>
      <c r="N16" s="12"/>
    </row>
    <row r="17" spans="1:14" x14ac:dyDescent="0.3">
      <c r="A17" s="12"/>
      <c r="B17" s="12"/>
      <c r="C17" s="12"/>
      <c r="D17" s="12"/>
      <c r="E17" s="12"/>
      <c r="F17" s="12"/>
      <c r="G17" s="12"/>
      <c r="H17" s="12"/>
      <c r="I17" s="12"/>
      <c r="J17" s="12"/>
      <c r="K17" s="12"/>
      <c r="L17" s="12"/>
      <c r="M17" s="12"/>
      <c r="N17" s="12"/>
    </row>
    <row r="18" spans="1:14" x14ac:dyDescent="0.3">
      <c r="A18" s="12"/>
      <c r="B18" s="12"/>
      <c r="C18" s="12"/>
      <c r="D18" s="12"/>
      <c r="E18" s="12"/>
      <c r="F18" s="12"/>
      <c r="G18" s="12"/>
      <c r="H18" s="12"/>
      <c r="I18" s="12"/>
      <c r="J18" s="12"/>
      <c r="K18" s="12"/>
      <c r="L18" s="12"/>
      <c r="M18" s="12"/>
      <c r="N18" s="12"/>
    </row>
    <row r="19" spans="1:14" x14ac:dyDescent="0.3">
      <c r="A19" s="12"/>
      <c r="B19" s="12"/>
      <c r="C19" s="12"/>
      <c r="D19" s="12"/>
      <c r="E19" s="12"/>
      <c r="F19" s="12"/>
      <c r="G19" s="12"/>
      <c r="H19" s="12"/>
      <c r="I19" s="12"/>
      <c r="J19" s="12"/>
      <c r="K19" s="12"/>
      <c r="L19" s="12"/>
      <c r="M19" s="12"/>
      <c r="N19" s="12"/>
    </row>
    <row r="20" spans="1:14" x14ac:dyDescent="0.3">
      <c r="A20" s="12"/>
      <c r="B20" s="12"/>
      <c r="C20" s="12"/>
      <c r="D20" s="12"/>
      <c r="E20" s="12"/>
      <c r="F20" s="12"/>
      <c r="G20" s="12"/>
      <c r="H20" s="12"/>
      <c r="I20" s="12"/>
      <c r="J20" s="12"/>
      <c r="K20" s="12"/>
      <c r="L20" s="12"/>
      <c r="M20" s="12"/>
      <c r="N20" s="12"/>
    </row>
    <row r="21" spans="1:14" x14ac:dyDescent="0.3">
      <c r="A21" s="12"/>
      <c r="B21" s="12"/>
      <c r="C21" s="12"/>
      <c r="D21" s="12"/>
      <c r="E21" s="12"/>
      <c r="F21" s="12"/>
      <c r="G21" s="12"/>
      <c r="H21" s="12"/>
      <c r="I21" s="12"/>
      <c r="J21" s="12"/>
      <c r="K21" s="12"/>
      <c r="L21" s="12"/>
      <c r="M21" s="12"/>
      <c r="N21" s="12"/>
    </row>
    <row r="22" spans="1:14" x14ac:dyDescent="0.3">
      <c r="A22" s="12"/>
      <c r="B22" s="12"/>
      <c r="C22" s="12"/>
      <c r="D22" s="12"/>
      <c r="E22" s="12"/>
      <c r="F22" s="12"/>
      <c r="G22" s="12"/>
      <c r="H22" s="12"/>
      <c r="I22" s="12"/>
      <c r="J22" s="12"/>
      <c r="K22" s="12"/>
      <c r="L22" s="12"/>
      <c r="M22" s="12"/>
      <c r="N22" s="12"/>
    </row>
    <row r="23" spans="1:14" x14ac:dyDescent="0.3">
      <c r="A23" s="12"/>
      <c r="B23" s="12"/>
      <c r="C23" s="12"/>
      <c r="D23" s="12"/>
      <c r="E23" s="12"/>
      <c r="F23" s="12"/>
      <c r="G23" s="12"/>
      <c r="H23" s="12"/>
      <c r="I23" s="12"/>
      <c r="J23" s="12"/>
      <c r="K23" s="12"/>
      <c r="L23" s="12"/>
      <c r="M23" s="12"/>
      <c r="N23" s="12"/>
    </row>
    <row r="24" spans="1:14" x14ac:dyDescent="0.3">
      <c r="A24" s="12"/>
      <c r="B24" s="12"/>
      <c r="C24" s="12"/>
      <c r="D24" s="12"/>
      <c r="E24" s="12"/>
      <c r="F24" s="12"/>
      <c r="G24" s="12"/>
      <c r="H24" s="12"/>
      <c r="I24" s="12"/>
      <c r="J24" s="12"/>
      <c r="K24" s="12"/>
      <c r="L24" s="12"/>
      <c r="M24" s="12"/>
      <c r="N24" s="12"/>
    </row>
    <row r="25" spans="1:14" x14ac:dyDescent="0.3">
      <c r="A25" s="12"/>
      <c r="B25" s="12"/>
      <c r="C25" s="12"/>
      <c r="D25" s="12"/>
      <c r="E25" s="12"/>
      <c r="F25" s="12"/>
      <c r="G25" s="12"/>
      <c r="H25" s="12"/>
      <c r="I25" s="12"/>
      <c r="J25" s="12"/>
      <c r="K25" s="12"/>
      <c r="L25" s="12"/>
      <c r="M25" s="12"/>
      <c r="N25" s="12"/>
    </row>
    <row r="26" spans="1:14" x14ac:dyDescent="0.3">
      <c r="A26" s="12"/>
      <c r="B26" s="12"/>
      <c r="C26" s="12"/>
      <c r="D26" s="12"/>
      <c r="E26" s="12"/>
      <c r="F26" s="12"/>
      <c r="G26" s="12"/>
      <c r="H26" s="12"/>
      <c r="I26" s="12"/>
      <c r="J26" s="12"/>
      <c r="K26" s="12"/>
      <c r="L26" s="12"/>
      <c r="M26" s="12"/>
      <c r="N26" s="12"/>
    </row>
    <row r="27" spans="1:14" x14ac:dyDescent="0.3">
      <c r="A27" s="12"/>
      <c r="B27" s="12"/>
      <c r="C27" s="12"/>
      <c r="D27" s="12"/>
      <c r="E27" s="12"/>
      <c r="F27" s="12"/>
      <c r="G27" s="12"/>
      <c r="H27" s="12"/>
      <c r="I27" s="12"/>
      <c r="J27" s="12"/>
      <c r="K27" s="12"/>
      <c r="L27" s="12"/>
      <c r="M27" s="12"/>
      <c r="N27" s="12"/>
    </row>
    <row r="28" spans="1:14" x14ac:dyDescent="0.3">
      <c r="A28" s="12"/>
      <c r="B28" s="12"/>
      <c r="C28" s="12"/>
      <c r="D28" s="12"/>
      <c r="E28" s="12"/>
      <c r="F28" s="12"/>
      <c r="G28" s="12"/>
      <c r="H28" s="12"/>
      <c r="I28" s="12"/>
      <c r="J28" s="12"/>
      <c r="K28" s="12"/>
      <c r="L28" s="12"/>
      <c r="M28" s="12"/>
      <c r="N28" s="12"/>
    </row>
    <row r="29" spans="1:14" x14ac:dyDescent="0.3">
      <c r="A29" s="12"/>
      <c r="B29" s="12"/>
      <c r="C29" s="12"/>
      <c r="D29" s="12"/>
      <c r="E29" s="12"/>
      <c r="F29" s="12"/>
      <c r="G29" s="12"/>
      <c r="H29" s="12"/>
      <c r="I29" s="12"/>
      <c r="J29" s="12"/>
      <c r="K29" s="12"/>
      <c r="L29" s="12"/>
      <c r="M29" s="12"/>
      <c r="N29" s="12"/>
    </row>
    <row r="30" spans="1:14" x14ac:dyDescent="0.3">
      <c r="A30" s="12"/>
      <c r="B30" s="12"/>
      <c r="C30" s="12"/>
      <c r="D30" s="12"/>
      <c r="E30" s="12"/>
      <c r="F30" s="12"/>
      <c r="G30" s="12"/>
      <c r="H30" s="12"/>
      <c r="I30" s="12"/>
      <c r="J30" s="12"/>
      <c r="K30" s="12"/>
      <c r="L30" s="12"/>
      <c r="M30" s="12"/>
      <c r="N30" s="12"/>
    </row>
    <row r="31" spans="1:14" x14ac:dyDescent="0.3">
      <c r="A31" s="12"/>
      <c r="B31" s="12"/>
      <c r="C31" s="12"/>
      <c r="D31" s="12"/>
      <c r="E31" s="12"/>
      <c r="F31" s="12"/>
      <c r="G31" s="12"/>
      <c r="H31" s="12"/>
      <c r="I31" s="12"/>
      <c r="J31" s="12"/>
      <c r="K31" s="12"/>
      <c r="L31" s="12"/>
      <c r="M31" s="12"/>
      <c r="N31" s="12"/>
    </row>
    <row r="32" spans="1:14" x14ac:dyDescent="0.3">
      <c r="A32" s="12"/>
      <c r="B32" s="12"/>
      <c r="C32" s="12"/>
      <c r="D32" s="12"/>
      <c r="E32" s="12"/>
      <c r="F32" s="12"/>
      <c r="G32" s="12"/>
      <c r="H32" s="12"/>
      <c r="I32" s="12"/>
      <c r="J32" s="12"/>
      <c r="K32" s="12"/>
      <c r="L32" s="12"/>
      <c r="M32" s="12"/>
      <c r="N32" s="12"/>
    </row>
    <row r="33" spans="1:14" x14ac:dyDescent="0.3">
      <c r="A33" s="12"/>
      <c r="B33" s="12"/>
      <c r="C33" s="12"/>
      <c r="D33" s="12"/>
      <c r="E33" s="12"/>
      <c r="F33" s="12"/>
      <c r="G33" s="12"/>
      <c r="H33" s="12"/>
      <c r="I33" s="12"/>
      <c r="J33" s="12"/>
      <c r="K33" s="12"/>
      <c r="L33" s="12"/>
      <c r="M33" s="12"/>
      <c r="N33" s="12"/>
    </row>
    <row r="34" spans="1:14" x14ac:dyDescent="0.3">
      <c r="A34" s="12"/>
      <c r="B34" s="12"/>
      <c r="C34" s="12"/>
      <c r="D34" s="12"/>
      <c r="E34" s="12"/>
      <c r="F34" s="12"/>
      <c r="G34" s="12"/>
      <c r="H34" s="12"/>
      <c r="I34" s="12"/>
      <c r="J34" s="12"/>
      <c r="K34" s="12"/>
      <c r="L34" s="12"/>
      <c r="M34" s="12"/>
      <c r="N34" s="12"/>
    </row>
    <row r="35" spans="1:14" x14ac:dyDescent="0.3">
      <c r="A35" s="12"/>
      <c r="B35" s="12"/>
      <c r="C35" s="12"/>
      <c r="D35" s="12"/>
      <c r="E35" s="12"/>
      <c r="F35" s="12"/>
      <c r="G35" s="12"/>
      <c r="H35" s="12"/>
      <c r="I35" s="12"/>
      <c r="J35" s="12"/>
      <c r="K35" s="12"/>
      <c r="L35" s="12"/>
      <c r="M35" s="12"/>
      <c r="N35" s="12"/>
    </row>
    <row r="36" spans="1:14" x14ac:dyDescent="0.3">
      <c r="A36" s="12"/>
      <c r="B36" s="12"/>
      <c r="C36" s="12"/>
      <c r="D36" s="12"/>
      <c r="E36" s="12"/>
      <c r="F36" s="12"/>
      <c r="G36" s="12"/>
      <c r="H36" s="12"/>
      <c r="I36" s="12"/>
      <c r="J36" s="12"/>
      <c r="K36" s="12"/>
      <c r="L36" s="12"/>
      <c r="M36" s="12"/>
      <c r="N36" s="12"/>
    </row>
    <row r="37" spans="1:14" x14ac:dyDescent="0.3">
      <c r="A37" s="12"/>
      <c r="B37" s="12"/>
      <c r="C37" s="12"/>
      <c r="D37" s="12"/>
      <c r="E37" s="12"/>
      <c r="F37" s="12"/>
      <c r="G37" s="12"/>
      <c r="H37" s="12"/>
      <c r="I37" s="12"/>
      <c r="J37" s="12"/>
      <c r="K37" s="12"/>
      <c r="L37" s="12"/>
      <c r="M37" s="12"/>
      <c r="N37" s="12"/>
    </row>
    <row r="38" spans="1:14" x14ac:dyDescent="0.3">
      <c r="A38" s="12"/>
      <c r="B38" s="12"/>
      <c r="C38" s="12"/>
      <c r="D38" s="12"/>
      <c r="E38" s="12"/>
      <c r="F38" s="12"/>
      <c r="G38" s="12"/>
      <c r="H38" s="12"/>
      <c r="I38" s="12"/>
      <c r="J38" s="12"/>
      <c r="K38" s="12"/>
      <c r="L38" s="12"/>
      <c r="M38" s="12"/>
      <c r="N38" s="12"/>
    </row>
    <row r="39" spans="1:14" x14ac:dyDescent="0.3">
      <c r="A39" s="12"/>
      <c r="B39" s="12"/>
      <c r="C39" s="12"/>
      <c r="D39" s="12"/>
      <c r="E39" s="12"/>
      <c r="F39" s="12"/>
      <c r="G39" s="12"/>
      <c r="H39" s="12"/>
      <c r="I39" s="12"/>
      <c r="J39" s="12"/>
      <c r="K39" s="12"/>
      <c r="L39" s="12"/>
      <c r="M39" s="12"/>
      <c r="N39" s="12"/>
    </row>
    <row r="40" spans="1:14" x14ac:dyDescent="0.3">
      <c r="A40" s="12"/>
      <c r="B40" s="12"/>
      <c r="C40" s="12"/>
      <c r="D40" s="12"/>
      <c r="E40" s="12"/>
      <c r="F40" s="12"/>
      <c r="G40" s="12"/>
      <c r="H40" s="12"/>
      <c r="I40" s="12"/>
      <c r="J40" s="12"/>
      <c r="K40" s="12"/>
      <c r="L40" s="12"/>
      <c r="M40" s="12"/>
      <c r="N40" s="12"/>
    </row>
    <row r="41" spans="1:14" x14ac:dyDescent="0.3">
      <c r="A41" s="12"/>
      <c r="B41" s="12"/>
      <c r="C41" s="12"/>
      <c r="D41" s="12"/>
      <c r="E41" s="12"/>
      <c r="F41" s="12"/>
      <c r="G41" s="12"/>
      <c r="H41" s="12"/>
      <c r="I41" s="12"/>
      <c r="J41" s="12"/>
      <c r="K41" s="12"/>
      <c r="L41" s="12"/>
      <c r="M41" s="12"/>
      <c r="N41" s="12"/>
    </row>
    <row r="42" spans="1:14" x14ac:dyDescent="0.3">
      <c r="A42" s="12"/>
      <c r="B42" s="12"/>
      <c r="C42" s="12"/>
      <c r="D42" s="12"/>
      <c r="E42" s="12"/>
      <c r="F42" s="12"/>
      <c r="G42" s="12"/>
      <c r="H42" s="12"/>
      <c r="I42" s="12"/>
      <c r="J42" s="12"/>
      <c r="K42" s="12"/>
      <c r="L42" s="12"/>
      <c r="M42" s="12"/>
      <c r="N42" s="12"/>
    </row>
    <row r="43" spans="1:14" x14ac:dyDescent="0.3">
      <c r="A43" s="12"/>
      <c r="B43" s="12"/>
      <c r="C43" s="12"/>
      <c r="D43" s="12"/>
      <c r="E43" s="12"/>
      <c r="F43" s="12"/>
      <c r="G43" s="12"/>
      <c r="H43" s="12"/>
      <c r="I43" s="12"/>
      <c r="J43" s="12"/>
      <c r="K43" s="12"/>
      <c r="L43" s="12"/>
      <c r="M43" s="12"/>
      <c r="N43" s="12"/>
    </row>
    <row r="53" spans="18:18" x14ac:dyDescent="0.3">
      <c r="R53" s="3"/>
    </row>
  </sheetData>
  <pageMargins left="0.70866141732283472" right="0.70866141732283472" top="0.74803149606299213" bottom="0.74803149606299213" header="0.31496062992125984" footer="0.31496062992125984"/>
  <pageSetup paperSize="9" scale="78"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46"/>
  <sheetViews>
    <sheetView tabSelected="1" view="pageBreakPreview" zoomScale="60" zoomScaleNormal="100" workbookViewId="0">
      <selection activeCell="P32" sqref="P32"/>
    </sheetView>
  </sheetViews>
  <sheetFormatPr defaultColWidth="9.109375" defaultRowHeight="10.199999999999999" x14ac:dyDescent="0.2"/>
  <cols>
    <col min="1" max="1" width="8.33203125" style="429" customWidth="1"/>
    <col min="2" max="13" width="8.33203125" style="46" customWidth="1"/>
    <col min="14" max="16" width="9.33203125" style="46" customWidth="1"/>
    <col min="17" max="16384" width="9.109375" style="46"/>
  </cols>
  <sheetData>
    <row r="1" spans="1:16" ht="25.2" customHeight="1" x14ac:dyDescent="0.3">
      <c r="A1" s="612" t="e">
        <f>muni&amp;" - "&amp; TableA25</f>
        <v>#REF!</v>
      </c>
      <c r="B1" s="612"/>
      <c r="C1" s="612"/>
      <c r="D1" s="612"/>
      <c r="E1" s="612"/>
      <c r="F1" s="612"/>
      <c r="G1" s="612"/>
      <c r="H1" s="612"/>
      <c r="I1" s="612"/>
      <c r="J1" s="612"/>
      <c r="K1" s="612"/>
      <c r="L1" s="612"/>
      <c r="M1" s="612"/>
      <c r="N1" s="612"/>
      <c r="O1" s="612"/>
      <c r="P1" s="612"/>
    </row>
    <row r="2" spans="1:16" ht="20.399999999999999" customHeight="1" x14ac:dyDescent="0.2">
      <c r="A2" s="155">
        <f>desc</f>
        <v>0</v>
      </c>
      <c r="B2" s="602">
        <f>Head9</f>
        <v>0</v>
      </c>
      <c r="C2" s="603"/>
      <c r="D2" s="603"/>
      <c r="E2" s="603"/>
      <c r="F2" s="603"/>
      <c r="G2" s="603"/>
      <c r="H2" s="603"/>
      <c r="I2" s="603"/>
      <c r="J2" s="603"/>
      <c r="K2" s="603"/>
      <c r="L2" s="603"/>
      <c r="M2" s="603"/>
      <c r="N2" s="604" t="s">
        <v>436</v>
      </c>
      <c r="O2" s="605"/>
      <c r="P2" s="606"/>
    </row>
    <row r="3" spans="1:16" ht="30.6" customHeight="1" x14ac:dyDescent="0.2">
      <c r="A3" s="156" t="s">
        <v>515</v>
      </c>
      <c r="B3" s="403" t="s">
        <v>437</v>
      </c>
      <c r="C3" s="158" t="s">
        <v>438</v>
      </c>
      <c r="D3" s="158" t="s">
        <v>439</v>
      </c>
      <c r="E3" s="158" t="s">
        <v>440</v>
      </c>
      <c r="F3" s="158" t="s">
        <v>441</v>
      </c>
      <c r="G3" s="158" t="s">
        <v>442</v>
      </c>
      <c r="H3" s="158" t="s">
        <v>443</v>
      </c>
      <c r="I3" s="158" t="s">
        <v>444</v>
      </c>
      <c r="J3" s="158" t="s">
        <v>445</v>
      </c>
      <c r="K3" s="158" t="s">
        <v>446</v>
      </c>
      <c r="L3" s="158" t="s">
        <v>447</v>
      </c>
      <c r="M3" s="159" t="s">
        <v>448</v>
      </c>
      <c r="N3" s="157">
        <f>Head9</f>
        <v>0</v>
      </c>
      <c r="O3" s="160">
        <f>Head10</f>
        <v>0</v>
      </c>
      <c r="P3" s="159">
        <f>Head11</f>
        <v>0</v>
      </c>
    </row>
    <row r="4" spans="1:16" ht="20.399999999999999" x14ac:dyDescent="0.2">
      <c r="A4" s="430" t="str">
        <f>'[2]A4-FinPerf RE'!A4</f>
        <v>Revenue By Source</v>
      </c>
      <c r="B4" s="404"/>
      <c r="C4" s="327"/>
      <c r="D4" s="327"/>
      <c r="E4" s="327"/>
      <c r="F4" s="327"/>
      <c r="G4" s="327"/>
      <c r="H4" s="327"/>
      <c r="I4" s="327"/>
      <c r="J4" s="327"/>
      <c r="K4" s="327"/>
      <c r="L4" s="327"/>
      <c r="M4" s="405"/>
      <c r="N4" s="329"/>
      <c r="O4" s="327"/>
      <c r="P4" s="330"/>
    </row>
    <row r="5" spans="1:16" ht="12.75" customHeight="1" x14ac:dyDescent="0.2">
      <c r="A5" s="431" t="str">
        <f>'[2]A4-FinPerf RE'!A5</f>
        <v>Property rates</v>
      </c>
      <c r="B5" s="61">
        <v>1040000</v>
      </c>
      <c r="C5" s="61">
        <v>989000</v>
      </c>
      <c r="D5" s="61">
        <v>1893897</v>
      </c>
      <c r="E5" s="61">
        <v>891597</v>
      </c>
      <c r="F5" s="61">
        <v>877403</v>
      </c>
      <c r="G5" s="61">
        <v>875608</v>
      </c>
      <c r="H5" s="61">
        <v>875608</v>
      </c>
      <c r="I5" s="61">
        <v>1993897</v>
      </c>
      <c r="J5" s="61">
        <v>2001000</v>
      </c>
      <c r="K5" s="61">
        <v>1993608</v>
      </c>
      <c r="L5" s="61">
        <v>2314000</v>
      </c>
      <c r="M5" s="75">
        <f t="shared" ref="M5:M20" si="0">N5-SUM(B5:L5)</f>
        <v>1994560</v>
      </c>
      <c r="N5" s="174">
        <f>'[2]A4-FinPerf RE'!J5</f>
        <v>17740178</v>
      </c>
      <c r="O5" s="53">
        <f>'[2]A4-FinPerf RE'!K5</f>
        <v>18698147</v>
      </c>
      <c r="P5" s="168">
        <f>'[2]A4-FinPerf RE'!L5</f>
        <v>19707847</v>
      </c>
    </row>
    <row r="6" spans="1:16" ht="12.75" customHeight="1" x14ac:dyDescent="0.2">
      <c r="A6" s="431" t="str">
        <f>'[2]A4-FinPerf RE'!A6</f>
        <v>Service charges - electricity revenue</v>
      </c>
      <c r="B6" s="61">
        <v>1423000</v>
      </c>
      <c r="C6" s="61">
        <v>1352000</v>
      </c>
      <c r="D6" s="61">
        <v>1571044</v>
      </c>
      <c r="E6" s="61">
        <v>2290601</v>
      </c>
      <c r="F6" s="61">
        <v>6368246</v>
      </c>
      <c r="G6" s="61">
        <v>1290653</v>
      </c>
      <c r="H6" s="61">
        <v>647513</v>
      </c>
      <c r="I6" s="61">
        <v>1250000</v>
      </c>
      <c r="J6" s="61">
        <v>1290653</v>
      </c>
      <c r="K6" s="61">
        <v>2897000</v>
      </c>
      <c r="L6" s="61">
        <v>3254000</v>
      </c>
      <c r="M6" s="75">
        <f t="shared" si="0"/>
        <v>2104199</v>
      </c>
      <c r="N6" s="174">
        <f>'[2]A4-FinPerf RE'!J6</f>
        <v>25738909</v>
      </c>
      <c r="O6" s="106">
        <f>'[2]A4-FinPerf RE'!K6</f>
        <v>27128809</v>
      </c>
      <c r="P6" s="169">
        <f>'[2]A4-FinPerf RE'!L6</f>
        <v>28593766</v>
      </c>
    </row>
    <row r="7" spans="1:16" ht="12.75" customHeight="1" x14ac:dyDescent="0.2">
      <c r="A7" s="431" t="str">
        <f>'[2]A4-FinPerf RE'!A7</f>
        <v>Service charges - water revenue</v>
      </c>
      <c r="B7" s="61">
        <v>0</v>
      </c>
      <c r="C7" s="61">
        <v>0</v>
      </c>
      <c r="D7" s="61">
        <v>0</v>
      </c>
      <c r="E7" s="61">
        <v>0</v>
      </c>
      <c r="F7" s="61">
        <v>0</v>
      </c>
      <c r="G7" s="61">
        <v>0</v>
      </c>
      <c r="H7" s="61">
        <v>0</v>
      </c>
      <c r="I7" s="61">
        <v>0</v>
      </c>
      <c r="J7" s="61">
        <v>0</v>
      </c>
      <c r="K7" s="61">
        <v>0</v>
      </c>
      <c r="L7" s="61">
        <v>0</v>
      </c>
      <c r="M7" s="75">
        <f t="shared" si="0"/>
        <v>0</v>
      </c>
      <c r="N7" s="174">
        <f>'[2]A4-FinPerf RE'!J7</f>
        <v>0</v>
      </c>
      <c r="O7" s="106">
        <f>'[2]A4-FinPerf RE'!K7</f>
        <v>0</v>
      </c>
      <c r="P7" s="169">
        <f>'[2]A4-FinPerf RE'!L7</f>
        <v>0</v>
      </c>
    </row>
    <row r="8" spans="1:16" ht="12.75" customHeight="1" x14ac:dyDescent="0.2">
      <c r="A8" s="431" t="str">
        <f>'[2]A4-FinPerf RE'!A8</f>
        <v>Service charges - sanitation revenue</v>
      </c>
      <c r="B8" s="61">
        <v>0</v>
      </c>
      <c r="C8" s="61">
        <v>0</v>
      </c>
      <c r="D8" s="61">
        <v>0</v>
      </c>
      <c r="E8" s="61">
        <v>0</v>
      </c>
      <c r="F8" s="61">
        <v>0</v>
      </c>
      <c r="G8" s="61">
        <v>0</v>
      </c>
      <c r="H8" s="61">
        <v>0</v>
      </c>
      <c r="I8" s="61">
        <v>0</v>
      </c>
      <c r="J8" s="61">
        <v>0</v>
      </c>
      <c r="K8" s="61">
        <v>0</v>
      </c>
      <c r="L8" s="61">
        <v>0</v>
      </c>
      <c r="M8" s="75">
        <f t="shared" si="0"/>
        <v>0</v>
      </c>
      <c r="N8" s="174">
        <f>'[2]A4-FinPerf RE'!J8</f>
        <v>0</v>
      </c>
      <c r="O8" s="106">
        <f>'[2]A4-FinPerf RE'!K8</f>
        <v>0</v>
      </c>
      <c r="P8" s="169">
        <f>'[2]A4-FinPerf RE'!L8</f>
        <v>0</v>
      </c>
    </row>
    <row r="9" spans="1:16" ht="12.75" customHeight="1" x14ac:dyDescent="0.2">
      <c r="A9" s="431" t="str">
        <f>'[2]A4-FinPerf RE'!A9</f>
        <v>Service charges - refuse revenue</v>
      </c>
      <c r="B9" s="61">
        <v>434079</v>
      </c>
      <c r="C9" s="61">
        <v>433864</v>
      </c>
      <c r="D9" s="61">
        <v>433280</v>
      </c>
      <c r="E9" s="61">
        <v>433066</v>
      </c>
      <c r="F9" s="61">
        <v>433864</v>
      </c>
      <c r="G9" s="61">
        <v>433804</v>
      </c>
      <c r="H9" s="61">
        <v>434542</v>
      </c>
      <c r="I9" s="61">
        <v>1200000</v>
      </c>
      <c r="J9" s="61">
        <v>1005000</v>
      </c>
      <c r="K9" s="61">
        <v>989000</v>
      </c>
      <c r="L9" s="61">
        <v>975000</v>
      </c>
      <c r="M9" s="75">
        <f t="shared" si="0"/>
        <v>1466554</v>
      </c>
      <c r="N9" s="174">
        <f>'[2]A4-FinPerf RE'!J9</f>
        <v>8672053</v>
      </c>
      <c r="O9" s="106">
        <f>'[2]A4-FinPerf RE'!K9</f>
        <v>9140344</v>
      </c>
      <c r="P9" s="169">
        <f>'[2]A4-FinPerf RE'!L9</f>
        <v>9633923</v>
      </c>
    </row>
    <row r="10" spans="1:16" ht="12.75" customHeight="1" x14ac:dyDescent="0.2">
      <c r="A10" s="431"/>
      <c r="B10" s="284"/>
      <c r="C10" s="112"/>
      <c r="D10" s="112"/>
      <c r="E10" s="112"/>
      <c r="F10" s="112"/>
      <c r="G10" s="112"/>
      <c r="H10" s="112"/>
      <c r="I10" s="112"/>
      <c r="J10" s="112"/>
      <c r="K10" s="112"/>
      <c r="L10" s="112"/>
      <c r="M10" s="119"/>
      <c r="N10" s="406"/>
      <c r="O10" s="115"/>
      <c r="P10" s="407"/>
    </row>
    <row r="11" spans="1:16" ht="12.75" customHeight="1" x14ac:dyDescent="0.2">
      <c r="A11" s="431" t="str">
        <f>'[2]A4-FinPerf RE'!A11</f>
        <v>Rental of facilities and equipment</v>
      </c>
      <c r="B11" s="61">
        <v>83000</v>
      </c>
      <c r="C11" s="61">
        <v>86000</v>
      </c>
      <c r="D11" s="61">
        <v>88000</v>
      </c>
      <c r="E11" s="61">
        <v>79000</v>
      </c>
      <c r="F11" s="61">
        <v>69000</v>
      </c>
      <c r="G11" s="61">
        <v>46000</v>
      </c>
      <c r="H11" s="61">
        <v>54000</v>
      </c>
      <c r="I11" s="61">
        <v>85000</v>
      </c>
      <c r="J11" s="61">
        <v>101000</v>
      </c>
      <c r="K11" s="61">
        <v>104000</v>
      </c>
      <c r="L11" s="61">
        <v>105000</v>
      </c>
      <c r="M11" s="75">
        <f t="shared" si="0"/>
        <v>106551</v>
      </c>
      <c r="N11" s="174">
        <f>'[2]A4-FinPerf RE'!J11</f>
        <v>1006551</v>
      </c>
      <c r="O11" s="53">
        <f>'[2]A4-FinPerf RE'!K11</f>
        <v>1060905</v>
      </c>
      <c r="P11" s="168">
        <f>'[2]A4-FinPerf RE'!L11</f>
        <v>1118194</v>
      </c>
    </row>
    <row r="12" spans="1:16" ht="12.75" customHeight="1" x14ac:dyDescent="0.2">
      <c r="A12" s="431" t="str">
        <f>'[2]A4-FinPerf RE'!A12</f>
        <v>Interest earned - external investments</v>
      </c>
      <c r="B12" s="61">
        <v>463000</v>
      </c>
      <c r="C12" s="61">
        <v>363000</v>
      </c>
      <c r="D12" s="61">
        <v>362000</v>
      </c>
      <c r="E12" s="61">
        <v>463000</v>
      </c>
      <c r="F12" s="61">
        <v>262000</v>
      </c>
      <c r="G12" s="61">
        <v>454000</v>
      </c>
      <c r="H12" s="61">
        <v>401000</v>
      </c>
      <c r="I12" s="61">
        <v>457000</v>
      </c>
      <c r="J12" s="61">
        <v>461000</v>
      </c>
      <c r="K12" s="61">
        <v>464000</v>
      </c>
      <c r="L12" s="61">
        <v>389000</v>
      </c>
      <c r="M12" s="75">
        <f t="shared" si="0"/>
        <v>215530</v>
      </c>
      <c r="N12" s="174">
        <f>'[2]A4-FinPerf RE'!J12</f>
        <v>4754530</v>
      </c>
      <c r="O12" s="53">
        <f>'[2]A4-FinPerf RE'!K12</f>
        <v>5011275</v>
      </c>
      <c r="P12" s="168">
        <f>'[2]A4-FinPerf RE'!L12</f>
        <v>5281884</v>
      </c>
    </row>
    <row r="13" spans="1:16" ht="12.75" customHeight="1" x14ac:dyDescent="0.2">
      <c r="A13" s="431" t="str">
        <f>'[2]A4-FinPerf RE'!A13</f>
        <v>Interest earned - outstanding debtors</v>
      </c>
      <c r="B13" s="61">
        <v>1125000</v>
      </c>
      <c r="C13" s="61">
        <v>1136000</v>
      </c>
      <c r="D13" s="61">
        <v>1153000</v>
      </c>
      <c r="E13" s="61">
        <v>1475000</v>
      </c>
      <c r="F13" s="61">
        <v>1806676</v>
      </c>
      <c r="G13" s="61">
        <v>1830000</v>
      </c>
      <c r="H13" s="61">
        <v>1730000</v>
      </c>
      <c r="I13" s="61">
        <v>1950000</v>
      </c>
      <c r="J13" s="61">
        <v>1806676</v>
      </c>
      <c r="K13" s="61">
        <v>1846000</v>
      </c>
      <c r="L13" s="61">
        <v>2425000</v>
      </c>
      <c r="M13" s="75">
        <f t="shared" si="0"/>
        <v>1944139</v>
      </c>
      <c r="N13" s="174">
        <f>'[2]A4-FinPerf RE'!J13</f>
        <v>20227491</v>
      </c>
      <c r="O13" s="53">
        <f>'[2]A4-FinPerf RE'!K13</f>
        <v>21319776</v>
      </c>
      <c r="P13" s="168">
        <f>'[2]A4-FinPerf RE'!L13</f>
        <v>22471044</v>
      </c>
    </row>
    <row r="14" spans="1:16" ht="10.199999999999999" customHeight="1" x14ac:dyDescent="0.2">
      <c r="A14" s="431" t="str">
        <f>'[2]A4-FinPerf RE'!A14</f>
        <v>Dividends received</v>
      </c>
      <c r="B14" s="61">
        <v>0</v>
      </c>
      <c r="C14" s="61">
        <v>0</v>
      </c>
      <c r="D14" s="61">
        <v>0</v>
      </c>
      <c r="E14" s="61">
        <v>0</v>
      </c>
      <c r="F14" s="61">
        <v>0</v>
      </c>
      <c r="G14" s="61">
        <v>0</v>
      </c>
      <c r="H14" s="61">
        <v>0</v>
      </c>
      <c r="I14" s="61">
        <v>0</v>
      </c>
      <c r="J14" s="61">
        <v>0</v>
      </c>
      <c r="K14" s="61">
        <v>0</v>
      </c>
      <c r="L14" s="61">
        <v>0</v>
      </c>
      <c r="M14" s="75">
        <f t="shared" si="0"/>
        <v>0</v>
      </c>
      <c r="N14" s="174">
        <f>'[2]A4-FinPerf RE'!J14</f>
        <v>0</v>
      </c>
      <c r="O14" s="53">
        <f>'[2]A4-FinPerf RE'!K14</f>
        <v>0</v>
      </c>
      <c r="P14" s="168">
        <f>'[2]A4-FinPerf RE'!L14</f>
        <v>0</v>
      </c>
    </row>
    <row r="15" spans="1:16" ht="12.75" customHeight="1" x14ac:dyDescent="0.2">
      <c r="A15" s="431" t="str">
        <f>'[2]A4-FinPerf RE'!A15</f>
        <v>Fines, penalties and forfeits</v>
      </c>
      <c r="B15" s="61">
        <v>9100</v>
      </c>
      <c r="C15" s="61">
        <v>6275</v>
      </c>
      <c r="D15" s="61">
        <v>3534</v>
      </c>
      <c r="E15" s="61">
        <v>0</v>
      </c>
      <c r="F15" s="61">
        <v>3546</v>
      </c>
      <c r="G15" s="61">
        <v>6200</v>
      </c>
      <c r="H15" s="61">
        <v>4200</v>
      </c>
      <c r="I15" s="61">
        <v>99875</v>
      </c>
      <c r="J15" s="61">
        <v>111000</v>
      </c>
      <c r="K15" s="61">
        <v>140000</v>
      </c>
      <c r="L15" s="61">
        <v>180000</v>
      </c>
      <c r="M15" s="75">
        <f t="shared" si="0"/>
        <v>698670</v>
      </c>
      <c r="N15" s="174">
        <f>'[2]A4-FinPerf RE'!J15</f>
        <v>1262400</v>
      </c>
      <c r="O15" s="53">
        <f>'[2]A4-FinPerf RE'!K15</f>
        <v>1330570</v>
      </c>
      <c r="P15" s="168">
        <f>'[2]A4-FinPerf RE'!L15</f>
        <v>1402420</v>
      </c>
    </row>
    <row r="16" spans="1:16" ht="12.75" customHeight="1" x14ac:dyDescent="0.2">
      <c r="A16" s="431" t="str">
        <f>'[2]A4-FinPerf RE'!A16</f>
        <v>Licences and permits</v>
      </c>
      <c r="B16" s="61">
        <v>1281356</v>
      </c>
      <c r="C16" s="61">
        <v>1355115</v>
      </c>
      <c r="D16" s="61">
        <v>1189501</v>
      </c>
      <c r="E16" s="61">
        <v>1177999</v>
      </c>
      <c r="F16" s="61">
        <v>1631888</v>
      </c>
      <c r="G16" s="61">
        <v>1064869</v>
      </c>
      <c r="H16" s="61">
        <v>1692925</v>
      </c>
      <c r="I16" s="61">
        <v>2487000</v>
      </c>
      <c r="J16" s="61">
        <v>3100000</v>
      </c>
      <c r="K16" s="61">
        <v>2800000</v>
      </c>
      <c r="L16" s="61">
        <v>2500000</v>
      </c>
      <c r="M16" s="75">
        <f t="shared" si="0"/>
        <v>3583972</v>
      </c>
      <c r="N16" s="174">
        <f>'[2]A4-FinPerf RE'!J16</f>
        <v>23864625</v>
      </c>
      <c r="O16" s="53">
        <f>'[2]A4-FinPerf RE'!K16</f>
        <v>25153315</v>
      </c>
      <c r="P16" s="168">
        <f>'[2]A4-FinPerf RE'!L16</f>
        <v>26511594</v>
      </c>
    </row>
    <row r="17" spans="1:16" ht="12.75" customHeight="1" x14ac:dyDescent="0.2">
      <c r="A17" s="431" t="str">
        <f>'[2]A4-FinPerf RE'!A17</f>
        <v>Agency services</v>
      </c>
      <c r="B17" s="61">
        <v>0</v>
      </c>
      <c r="C17" s="61">
        <v>394478</v>
      </c>
      <c r="D17" s="61">
        <v>0</v>
      </c>
      <c r="E17" s="61">
        <v>0</v>
      </c>
      <c r="F17" s="61">
        <v>0</v>
      </c>
      <c r="G17" s="61">
        <v>0</v>
      </c>
      <c r="H17" s="61">
        <v>0</v>
      </c>
      <c r="I17" s="61">
        <v>456000</v>
      </c>
      <c r="J17" s="61">
        <v>321000</v>
      </c>
      <c r="K17" s="61">
        <v>221000</v>
      </c>
      <c r="L17" s="61">
        <v>395000</v>
      </c>
      <c r="M17" s="75">
        <f t="shared" si="0"/>
        <v>501689</v>
      </c>
      <c r="N17" s="174">
        <f>'[2]A4-FinPerf RE'!J17</f>
        <v>2289167</v>
      </c>
      <c r="O17" s="53">
        <f>'[2]A4-FinPerf RE'!K17</f>
        <v>2412782</v>
      </c>
      <c r="P17" s="168">
        <f>'[2]A4-FinPerf RE'!L17</f>
        <v>2543072</v>
      </c>
    </row>
    <row r="18" spans="1:16" ht="12.75" customHeight="1" x14ac:dyDescent="0.2">
      <c r="A18" s="431" t="str">
        <f>'[2]A4-FinPerf RE'!A18</f>
        <v>Transfers and subsidies</v>
      </c>
      <c r="B18" s="61">
        <v>115531000</v>
      </c>
      <c r="C18" s="61">
        <v>2526000</v>
      </c>
      <c r="D18" s="61">
        <v>0</v>
      </c>
      <c r="E18" s="61">
        <v>0</v>
      </c>
      <c r="F18" s="61">
        <v>0</v>
      </c>
      <c r="G18" s="61">
        <v>99820000</v>
      </c>
      <c r="H18" s="61">
        <v>0</v>
      </c>
      <c r="I18" s="61">
        <v>4356000</v>
      </c>
      <c r="J18" s="61">
        <v>59391000</v>
      </c>
      <c r="K18" s="61">
        <v>0</v>
      </c>
      <c r="L18" s="61">
        <v>0</v>
      </c>
      <c r="M18" s="75">
        <f t="shared" si="0"/>
        <v>0</v>
      </c>
      <c r="N18" s="174">
        <f>'[2]A4-FinPerf RE'!J18</f>
        <v>281624000</v>
      </c>
      <c r="O18" s="53">
        <f>'[2]A4-FinPerf RE'!K18</f>
        <v>300105000</v>
      </c>
      <c r="P18" s="168">
        <f>'[2]A4-FinPerf RE'!L18</f>
        <v>321890000</v>
      </c>
    </row>
    <row r="19" spans="1:16" ht="12.75" customHeight="1" x14ac:dyDescent="0.2">
      <c r="A19" s="431" t="str">
        <f>'[2]A4-FinPerf RE'!A19</f>
        <v>Other revenue</v>
      </c>
      <c r="B19" s="61">
        <v>1047000</v>
      </c>
      <c r="C19" s="61">
        <v>985000</v>
      </c>
      <c r="D19" s="61">
        <v>1320000</v>
      </c>
      <c r="E19" s="61">
        <v>1010000</v>
      </c>
      <c r="F19" s="61">
        <v>1272000</v>
      </c>
      <c r="G19" s="61">
        <v>825000</v>
      </c>
      <c r="H19" s="61">
        <v>809282</v>
      </c>
      <c r="I19" s="61">
        <v>1540000</v>
      </c>
      <c r="J19" s="61">
        <v>1750000</v>
      </c>
      <c r="K19" s="61">
        <v>1800000</v>
      </c>
      <c r="L19" s="61">
        <v>1250000</v>
      </c>
      <c r="M19" s="75">
        <f t="shared" si="0"/>
        <v>1139253</v>
      </c>
      <c r="N19" s="174">
        <f>'[2]A4-FinPerf RE'!J19</f>
        <v>14747535</v>
      </c>
      <c r="O19" s="53">
        <f>'[2]A4-FinPerf RE'!K19</f>
        <v>15543903</v>
      </c>
      <c r="P19" s="168">
        <f>'[2]A4-FinPerf RE'!L19</f>
        <v>16383272</v>
      </c>
    </row>
    <row r="20" spans="1:16" ht="12.75" customHeight="1" x14ac:dyDescent="0.2">
      <c r="A20" s="431" t="str">
        <f>'[2]A4-FinPerf RE'!A20</f>
        <v>Gains on disposal of PPE</v>
      </c>
      <c r="B20" s="61">
        <v>0</v>
      </c>
      <c r="C20" s="61">
        <v>0</v>
      </c>
      <c r="D20" s="61">
        <v>0</v>
      </c>
      <c r="E20" s="61">
        <v>0</v>
      </c>
      <c r="F20" s="61">
        <v>0</v>
      </c>
      <c r="G20" s="61">
        <v>0</v>
      </c>
      <c r="H20" s="61">
        <v>0</v>
      </c>
      <c r="I20" s="61">
        <v>0</v>
      </c>
      <c r="J20" s="61">
        <v>607004</v>
      </c>
      <c r="K20" s="61">
        <v>0</v>
      </c>
      <c r="L20" s="61">
        <v>0</v>
      </c>
      <c r="M20" s="75">
        <f t="shared" si="0"/>
        <v>0</v>
      </c>
      <c r="N20" s="174">
        <f>'[2]A4-FinPerf RE'!J20</f>
        <v>607004</v>
      </c>
      <c r="O20" s="53">
        <f>'[2]A4-FinPerf RE'!K20</f>
        <v>639782</v>
      </c>
      <c r="P20" s="168">
        <f>'[2]A4-FinPerf RE'!L20</f>
        <v>674330</v>
      </c>
    </row>
    <row r="21" spans="1:16" ht="12.75" customHeight="1" x14ac:dyDescent="0.2">
      <c r="A21" s="314" t="str">
        <f>'[2]A4-FinPerf RE'!A21</f>
        <v>Total Revenue (excluding capital transfers and contributions)</v>
      </c>
      <c r="B21" s="64">
        <f>SUM(B5:B9)+SUM(B11:B20)</f>
        <v>122436535</v>
      </c>
      <c r="C21" s="65">
        <f t="shared" ref="C21:P21" si="1">SUM(C5:C9)+SUM(C11:C20)</f>
        <v>9626732</v>
      </c>
      <c r="D21" s="65">
        <f t="shared" si="1"/>
        <v>8014256</v>
      </c>
      <c r="E21" s="65">
        <f t="shared" si="1"/>
        <v>7820263</v>
      </c>
      <c r="F21" s="65">
        <f t="shared" si="1"/>
        <v>12724623</v>
      </c>
      <c r="G21" s="65">
        <f t="shared" si="1"/>
        <v>106646134</v>
      </c>
      <c r="H21" s="65">
        <f t="shared" si="1"/>
        <v>6649070</v>
      </c>
      <c r="I21" s="65">
        <f t="shared" si="1"/>
        <v>15874772</v>
      </c>
      <c r="J21" s="65">
        <f t="shared" si="1"/>
        <v>71945333</v>
      </c>
      <c r="K21" s="65">
        <f t="shared" si="1"/>
        <v>13254608</v>
      </c>
      <c r="L21" s="65">
        <f t="shared" si="1"/>
        <v>13787000</v>
      </c>
      <c r="M21" s="66">
        <f t="shared" si="1"/>
        <v>13755117</v>
      </c>
      <c r="N21" s="171">
        <f t="shared" si="1"/>
        <v>402534443</v>
      </c>
      <c r="O21" s="65">
        <f t="shared" si="1"/>
        <v>427544608</v>
      </c>
      <c r="P21" s="172">
        <f t="shared" si="1"/>
        <v>456211346</v>
      </c>
    </row>
    <row r="22" spans="1:16" ht="12.75" customHeight="1" x14ac:dyDescent="0.2">
      <c r="A22" s="432"/>
      <c r="B22" s="89"/>
      <c r="C22" s="53"/>
      <c r="D22" s="53"/>
      <c r="E22" s="53"/>
      <c r="F22" s="53"/>
      <c r="G22" s="53"/>
      <c r="H22" s="53"/>
      <c r="I22" s="53"/>
      <c r="J22" s="53"/>
      <c r="K22" s="53"/>
      <c r="L22" s="53"/>
      <c r="M22" s="75"/>
      <c r="N22" s="174"/>
      <c r="O22" s="53"/>
      <c r="P22" s="168"/>
    </row>
    <row r="23" spans="1:16" ht="12.75" customHeight="1" x14ac:dyDescent="0.2">
      <c r="A23" s="433" t="str">
        <f>'[2]A4-FinPerf RE'!A23</f>
        <v>Expenditure By Type</v>
      </c>
      <c r="B23" s="89"/>
      <c r="C23" s="53"/>
      <c r="D23" s="53"/>
      <c r="E23" s="53"/>
      <c r="F23" s="53"/>
      <c r="G23" s="53"/>
      <c r="H23" s="53"/>
      <c r="I23" s="53"/>
      <c r="J23" s="53"/>
      <c r="K23" s="53"/>
      <c r="L23" s="53"/>
      <c r="M23" s="75"/>
      <c r="N23" s="174"/>
      <c r="O23" s="53"/>
      <c r="P23" s="168"/>
    </row>
    <row r="24" spans="1:16" ht="12.75" customHeight="1" x14ac:dyDescent="0.2">
      <c r="A24" s="431" t="str">
        <f>'[2]A4-FinPerf RE'!A24</f>
        <v>Employee related costs</v>
      </c>
      <c r="B24" s="61">
        <v>8912000</v>
      </c>
      <c r="C24" s="61">
        <v>8902217</v>
      </c>
      <c r="D24" s="61">
        <v>8906896</v>
      </c>
      <c r="E24" s="61">
        <v>8911710</v>
      </c>
      <c r="F24" s="61">
        <v>8502874</v>
      </c>
      <c r="G24" s="61">
        <v>8305283</v>
      </c>
      <c r="H24" s="61">
        <v>7575073</v>
      </c>
      <c r="I24" s="61">
        <v>8986000</v>
      </c>
      <c r="J24" s="61">
        <v>9351000</v>
      </c>
      <c r="K24" s="61">
        <v>9527200</v>
      </c>
      <c r="L24" s="61">
        <v>9912000</v>
      </c>
      <c r="M24" s="75">
        <f t="shared" ref="M24:M34" si="2">N24-SUM(B24:L24)</f>
        <v>9843882</v>
      </c>
      <c r="N24" s="174">
        <f>'[2]A4-FinPerf RE'!J24</f>
        <v>107636135</v>
      </c>
      <c r="O24" s="53">
        <f>'[2]A4-FinPerf RE'!K24</f>
        <v>115063029</v>
      </c>
      <c r="P24" s="168">
        <f>'[2]A4-FinPerf RE'!L24</f>
        <v>123002381</v>
      </c>
    </row>
    <row r="25" spans="1:16" ht="12.75" customHeight="1" x14ac:dyDescent="0.2">
      <c r="A25" s="431" t="str">
        <f>'[2]A4-FinPerf RE'!A25</f>
        <v>Remuneration of councillors</v>
      </c>
      <c r="B25" s="61">
        <v>1931000</v>
      </c>
      <c r="C25" s="61">
        <v>1917000</v>
      </c>
      <c r="D25" s="61">
        <v>1951000</v>
      </c>
      <c r="E25" s="61">
        <v>1917000</v>
      </c>
      <c r="F25" s="61">
        <v>1905000</v>
      </c>
      <c r="G25" s="61">
        <v>1905000</v>
      </c>
      <c r="H25" s="61">
        <v>1917000</v>
      </c>
      <c r="I25" s="61">
        <v>2150000</v>
      </c>
      <c r="J25" s="61">
        <v>2100000</v>
      </c>
      <c r="K25" s="61">
        <v>2100000</v>
      </c>
      <c r="L25" s="61">
        <v>2100000</v>
      </c>
      <c r="M25" s="75">
        <f t="shared" si="2"/>
        <v>2178901</v>
      </c>
      <c r="N25" s="174">
        <f>'[2]A4-FinPerf RE'!J25</f>
        <v>24071901</v>
      </c>
      <c r="O25" s="53">
        <f>'[2]A4-FinPerf RE'!K25</f>
        <v>25371784</v>
      </c>
      <c r="P25" s="168">
        <f>'[2]A4-FinPerf RE'!L25</f>
        <v>26741860</v>
      </c>
    </row>
    <row r="26" spans="1:16" ht="12.75" customHeight="1" x14ac:dyDescent="0.2">
      <c r="A26" s="431" t="str">
        <f>'[2]A4-FinPerf RE'!A26</f>
        <v>Debt impairment</v>
      </c>
      <c r="B26" s="61">
        <v>201000</v>
      </c>
      <c r="C26" s="61">
        <v>198000</v>
      </c>
      <c r="D26" s="61">
        <v>142000</v>
      </c>
      <c r="E26" s="61">
        <v>171530.33333333334</v>
      </c>
      <c r="F26" s="61">
        <v>201000</v>
      </c>
      <c r="G26" s="61">
        <v>114000</v>
      </c>
      <c r="H26" s="61">
        <v>201000</v>
      </c>
      <c r="I26" s="61">
        <v>199000</v>
      </c>
      <c r="J26" s="61">
        <v>171530.33333333334</v>
      </c>
      <c r="K26" s="61">
        <v>134000</v>
      </c>
      <c r="L26" s="61">
        <v>138000</v>
      </c>
      <c r="M26" s="75">
        <f t="shared" si="2"/>
        <v>187303.33333333326</v>
      </c>
      <c r="N26" s="174">
        <f>'[2]A4-FinPerf RE'!J26</f>
        <v>2058364</v>
      </c>
      <c r="O26" s="53">
        <f>'[2]A4-FinPerf RE'!K26</f>
        <v>2169516</v>
      </c>
      <c r="P26" s="168">
        <f>'[2]A4-FinPerf RE'!L26</f>
        <v>2286670</v>
      </c>
    </row>
    <row r="27" spans="1:16" ht="12.75" customHeight="1" x14ac:dyDescent="0.2">
      <c r="A27" s="431" t="str">
        <f>'[2]A4-FinPerf RE'!A27</f>
        <v>Depreciation &amp; asset impairment</v>
      </c>
      <c r="B27" s="61">
        <v>0</v>
      </c>
      <c r="C27" s="61">
        <v>1650000</v>
      </c>
      <c r="D27" s="61">
        <v>0</v>
      </c>
      <c r="E27" s="61">
        <v>0</v>
      </c>
      <c r="F27" s="61">
        <v>0</v>
      </c>
      <c r="G27" s="61">
        <v>1875000</v>
      </c>
      <c r="H27" s="61">
        <v>0</v>
      </c>
      <c r="I27" s="61">
        <v>0</v>
      </c>
      <c r="J27" s="61">
        <v>1526000</v>
      </c>
      <c r="K27" s="61">
        <v>0</v>
      </c>
      <c r="L27" s="61">
        <v>0</v>
      </c>
      <c r="M27" s="75">
        <f t="shared" si="2"/>
        <v>1200207</v>
      </c>
      <c r="N27" s="174">
        <f>'[2]A4-FinPerf RE'!J27</f>
        <v>6251207</v>
      </c>
      <c r="O27" s="53">
        <f>'[2]A4-FinPerf RE'!K27</f>
        <v>6588772</v>
      </c>
      <c r="P27" s="168">
        <f>'[2]A4-FinPerf RE'!L27</f>
        <v>6944565</v>
      </c>
    </row>
    <row r="28" spans="1:16" ht="12.75" customHeight="1" x14ac:dyDescent="0.2">
      <c r="A28" s="431" t="str">
        <f>'[2]A4-FinPerf RE'!A28</f>
        <v>Finance charges</v>
      </c>
      <c r="B28" s="61">
        <v>0</v>
      </c>
      <c r="C28" s="61">
        <v>0</v>
      </c>
      <c r="D28" s="61">
        <v>0</v>
      </c>
      <c r="E28" s="61">
        <v>0</v>
      </c>
      <c r="F28" s="61">
        <v>0</v>
      </c>
      <c r="G28" s="61">
        <v>0</v>
      </c>
      <c r="H28" s="61">
        <v>0</v>
      </c>
      <c r="I28" s="61">
        <v>0</v>
      </c>
      <c r="J28" s="61">
        <v>0</v>
      </c>
      <c r="K28" s="61">
        <v>0</v>
      </c>
      <c r="L28" s="61">
        <v>0</v>
      </c>
      <c r="M28" s="75">
        <f t="shared" si="2"/>
        <v>0</v>
      </c>
      <c r="N28" s="174">
        <f>'[2]A4-FinPerf RE'!J28</f>
        <v>0</v>
      </c>
      <c r="O28" s="53">
        <f>'[2]A4-FinPerf RE'!K28</f>
        <v>0</v>
      </c>
      <c r="P28" s="168">
        <f>'[2]A4-FinPerf RE'!L28</f>
        <v>0</v>
      </c>
    </row>
    <row r="29" spans="1:16" ht="9.6" customHeight="1" x14ac:dyDescent="0.2">
      <c r="A29" s="431" t="str">
        <f>'[2]A4-FinPerf RE'!A29</f>
        <v>Bulk purchases</v>
      </c>
      <c r="B29" s="61">
        <v>1943765</v>
      </c>
      <c r="C29" s="61">
        <v>1941629</v>
      </c>
      <c r="D29" s="61">
        <v>2445230</v>
      </c>
      <c r="E29" s="61">
        <v>1077018</v>
      </c>
      <c r="F29" s="61">
        <v>1051644</v>
      </c>
      <c r="G29" s="61">
        <v>1001826</v>
      </c>
      <c r="H29" s="61">
        <v>925624</v>
      </c>
      <c r="I29" s="61">
        <v>1077018</v>
      </c>
      <c r="J29" s="61">
        <v>1250000</v>
      </c>
      <c r="K29" s="61">
        <v>1547000</v>
      </c>
      <c r="L29" s="61">
        <v>1865000</v>
      </c>
      <c r="M29" s="75">
        <f t="shared" si="2"/>
        <v>1859826</v>
      </c>
      <c r="N29" s="174">
        <f>'[2]A4-FinPerf RE'!J29</f>
        <v>17985580</v>
      </c>
      <c r="O29" s="53">
        <f>'[2]A4-FinPerf RE'!K29</f>
        <v>18956801</v>
      </c>
      <c r="P29" s="168">
        <f>'[2]A4-FinPerf RE'!L29</f>
        <v>19980468</v>
      </c>
    </row>
    <row r="30" spans="1:16" ht="12.75" customHeight="1" x14ac:dyDescent="0.2">
      <c r="A30" s="431" t="str">
        <f>'[2]A4-FinPerf RE'!A30</f>
        <v>Other materials</v>
      </c>
      <c r="B30" s="61">
        <v>0</v>
      </c>
      <c r="C30" s="61">
        <v>0</v>
      </c>
      <c r="D30" s="61">
        <v>0</v>
      </c>
      <c r="E30" s="61">
        <v>0</v>
      </c>
      <c r="F30" s="61">
        <v>0</v>
      </c>
      <c r="G30" s="61">
        <v>0</v>
      </c>
      <c r="H30" s="61">
        <v>0</v>
      </c>
      <c r="I30" s="61">
        <v>0</v>
      </c>
      <c r="J30" s="61">
        <v>0</v>
      </c>
      <c r="K30" s="61">
        <v>0</v>
      </c>
      <c r="L30" s="61">
        <v>0</v>
      </c>
      <c r="M30" s="75">
        <f t="shared" si="2"/>
        <v>0</v>
      </c>
      <c r="N30" s="174">
        <f>'[2]A4-FinPerf RE'!J30</f>
        <v>0</v>
      </c>
      <c r="O30" s="53">
        <f>'[2]A4-FinPerf RE'!K30</f>
        <v>0</v>
      </c>
      <c r="P30" s="168">
        <f>'[2]A4-FinPerf RE'!L30</f>
        <v>0</v>
      </c>
    </row>
    <row r="31" spans="1:16" ht="12.75" customHeight="1" x14ac:dyDescent="0.2">
      <c r="A31" s="431" t="str">
        <f>'[2]A4-FinPerf RE'!A31</f>
        <v>Contracted services</v>
      </c>
      <c r="B31" s="61">
        <v>977784</v>
      </c>
      <c r="C31" s="61">
        <v>867912</v>
      </c>
      <c r="D31" s="61">
        <v>2830276</v>
      </c>
      <c r="E31" s="61">
        <v>2628462</v>
      </c>
      <c r="F31" s="61">
        <v>735088</v>
      </c>
      <c r="G31" s="61">
        <v>2037696</v>
      </c>
      <c r="H31" s="61">
        <v>1411417</v>
      </c>
      <c r="I31" s="61">
        <v>1540000</v>
      </c>
      <c r="J31" s="61">
        <v>895000</v>
      </c>
      <c r="K31" s="61">
        <v>1542000</v>
      </c>
      <c r="L31" s="61">
        <v>1798000</v>
      </c>
      <c r="M31" s="75">
        <f t="shared" si="2"/>
        <v>2195991</v>
      </c>
      <c r="N31" s="174">
        <f>'[2]A4-FinPerf RE'!J31</f>
        <v>19459626</v>
      </c>
      <c r="O31" s="53">
        <f>'[2]A4-FinPerf RE'!K31</f>
        <v>20510449</v>
      </c>
      <c r="P31" s="168">
        <f>'[2]A4-FinPerf RE'!L31</f>
        <v>21618010</v>
      </c>
    </row>
    <row r="32" spans="1:16" ht="12.75" customHeight="1" x14ac:dyDescent="0.2">
      <c r="A32" s="431" t="str">
        <f>'[2]A4-FinPerf RE'!A32</f>
        <v>Transfers and subsidies</v>
      </c>
      <c r="B32" s="61">
        <v>0</v>
      </c>
      <c r="C32" s="61">
        <v>0</v>
      </c>
      <c r="D32" s="61">
        <v>0</v>
      </c>
      <c r="E32" s="61">
        <v>0</v>
      </c>
      <c r="F32" s="61">
        <v>0</v>
      </c>
      <c r="G32" s="61">
        <v>0</v>
      </c>
      <c r="H32" s="61">
        <v>0</v>
      </c>
      <c r="I32" s="61">
        <v>0</v>
      </c>
      <c r="J32" s="61">
        <v>0</v>
      </c>
      <c r="K32" s="61">
        <v>0</v>
      </c>
      <c r="L32" s="61">
        <v>0</v>
      </c>
      <c r="M32" s="75">
        <f t="shared" si="2"/>
        <v>0</v>
      </c>
      <c r="N32" s="174">
        <f>'[2]A4-FinPerf RE'!J32</f>
        <v>0</v>
      </c>
      <c r="O32" s="53">
        <f>'[2]A4-FinPerf RE'!K32</f>
        <v>0</v>
      </c>
      <c r="P32" s="168">
        <f>'[2]A4-FinPerf RE'!L32</f>
        <v>0</v>
      </c>
    </row>
    <row r="33" spans="1:16" ht="12.75" customHeight="1" x14ac:dyDescent="0.2">
      <c r="A33" s="431" t="str">
        <f>'[2]A4-FinPerf RE'!A33</f>
        <v>Other expenditure</v>
      </c>
      <c r="B33" s="61">
        <v>9331000</v>
      </c>
      <c r="C33" s="61">
        <v>9822000</v>
      </c>
      <c r="D33" s="61">
        <v>9484000</v>
      </c>
      <c r="E33" s="61">
        <v>9217000</v>
      </c>
      <c r="F33" s="61">
        <v>9838000</v>
      </c>
      <c r="G33" s="61">
        <v>18681599</v>
      </c>
      <c r="H33" s="61">
        <v>10258000</v>
      </c>
      <c r="I33" s="61">
        <v>9975000</v>
      </c>
      <c r="J33" s="61">
        <v>12956000</v>
      </c>
      <c r="K33" s="61">
        <v>11542000</v>
      </c>
      <c r="L33" s="61">
        <v>10778000</v>
      </c>
      <c r="M33" s="75">
        <f t="shared" si="2"/>
        <v>9242810</v>
      </c>
      <c r="N33" s="174">
        <f>'[2]A4-FinPerf RE'!J33</f>
        <v>131125409</v>
      </c>
      <c r="O33" s="53">
        <f>'[2]A4-FinPerf RE'!K33</f>
        <v>120844965</v>
      </c>
      <c r="P33" s="168">
        <f>'[2]A4-FinPerf RE'!L33</f>
        <v>127437176</v>
      </c>
    </row>
    <row r="34" spans="1:16" ht="30.6" x14ac:dyDescent="0.2">
      <c r="A34" s="431" t="str">
        <f>'[2]A4-FinPerf RE'!A34</f>
        <v>Loss on disposal of PPE</v>
      </c>
      <c r="B34" s="61">
        <v>0</v>
      </c>
      <c r="C34" s="61">
        <v>0</v>
      </c>
      <c r="D34" s="61">
        <v>0</v>
      </c>
      <c r="E34" s="61">
        <v>0</v>
      </c>
      <c r="F34" s="61">
        <v>0</v>
      </c>
      <c r="G34" s="61">
        <v>0</v>
      </c>
      <c r="H34" s="61">
        <v>0</v>
      </c>
      <c r="I34" s="61">
        <v>0</v>
      </c>
      <c r="J34" s="61">
        <v>0</v>
      </c>
      <c r="K34" s="61">
        <v>0</v>
      </c>
      <c r="L34" s="61">
        <v>0</v>
      </c>
      <c r="M34" s="75">
        <f t="shared" si="2"/>
        <v>0</v>
      </c>
      <c r="N34" s="174">
        <f>'[2]A4-FinPerf RE'!J34</f>
        <v>0</v>
      </c>
      <c r="O34" s="53">
        <f>'[2]A4-FinPerf RE'!K34</f>
        <v>0</v>
      </c>
      <c r="P34" s="168">
        <f>'[2]A4-FinPerf RE'!L34</f>
        <v>0</v>
      </c>
    </row>
    <row r="35" spans="1:16" ht="20.399999999999999" x14ac:dyDescent="0.2">
      <c r="A35" s="314" t="str">
        <f>'[2]A4-FinPerf RE'!A35</f>
        <v>Total Expenditure</v>
      </c>
      <c r="B35" s="64">
        <f>SUM(B24:B34)</f>
        <v>23296549</v>
      </c>
      <c r="C35" s="65">
        <f t="shared" ref="C35:P35" si="3">SUM(C24:C34)</f>
        <v>25298758</v>
      </c>
      <c r="D35" s="65">
        <f t="shared" si="3"/>
        <v>25759402</v>
      </c>
      <c r="E35" s="65">
        <f t="shared" si="3"/>
        <v>23922720.333333336</v>
      </c>
      <c r="F35" s="65">
        <f t="shared" si="3"/>
        <v>22233606</v>
      </c>
      <c r="G35" s="65">
        <f t="shared" si="3"/>
        <v>33920404</v>
      </c>
      <c r="H35" s="65">
        <f t="shared" si="3"/>
        <v>22288114</v>
      </c>
      <c r="I35" s="65">
        <f t="shared" si="3"/>
        <v>23927018</v>
      </c>
      <c r="J35" s="65">
        <f t="shared" si="3"/>
        <v>28249530.333333336</v>
      </c>
      <c r="K35" s="65">
        <f t="shared" si="3"/>
        <v>26392200</v>
      </c>
      <c r="L35" s="65">
        <f t="shared" si="3"/>
        <v>26591000</v>
      </c>
      <c r="M35" s="66">
        <f t="shared" si="3"/>
        <v>26708920.333333336</v>
      </c>
      <c r="N35" s="171">
        <f t="shared" si="3"/>
        <v>308588222</v>
      </c>
      <c r="O35" s="65">
        <f t="shared" si="3"/>
        <v>309505316</v>
      </c>
      <c r="P35" s="172">
        <f t="shared" si="3"/>
        <v>328011130</v>
      </c>
    </row>
    <row r="36" spans="1:16" x14ac:dyDescent="0.2">
      <c r="A36" s="432"/>
      <c r="B36" s="89"/>
      <c r="C36" s="53"/>
      <c r="D36" s="53"/>
      <c r="E36" s="53"/>
      <c r="F36" s="53"/>
      <c r="G36" s="53"/>
      <c r="H36" s="53"/>
      <c r="I36" s="53"/>
      <c r="J36" s="53"/>
      <c r="K36" s="53"/>
      <c r="L36" s="53"/>
      <c r="M36" s="75"/>
      <c r="N36" s="174"/>
      <c r="O36" s="53"/>
      <c r="P36" s="168"/>
    </row>
    <row r="37" spans="1:16" ht="20.399999999999999" x14ac:dyDescent="0.2">
      <c r="A37" s="434" t="str">
        <f>'[2]A4-FinPerf RE'!A37</f>
        <v>Surplus/(Deficit)</v>
      </c>
      <c r="B37" s="64">
        <f t="shared" ref="B37:P37" si="4">B21-B35</f>
        <v>99139986</v>
      </c>
      <c r="C37" s="65">
        <f t="shared" si="4"/>
        <v>-15672026</v>
      </c>
      <c r="D37" s="65">
        <f t="shared" si="4"/>
        <v>-17745146</v>
      </c>
      <c r="E37" s="65">
        <f t="shared" si="4"/>
        <v>-16102457.333333336</v>
      </c>
      <c r="F37" s="65">
        <f t="shared" si="4"/>
        <v>-9508983</v>
      </c>
      <c r="G37" s="65">
        <f t="shared" si="4"/>
        <v>72725730</v>
      </c>
      <c r="H37" s="65">
        <f t="shared" si="4"/>
        <v>-15639044</v>
      </c>
      <c r="I37" s="65">
        <f t="shared" si="4"/>
        <v>-8052246</v>
      </c>
      <c r="J37" s="65">
        <f t="shared" si="4"/>
        <v>43695802.666666664</v>
      </c>
      <c r="K37" s="65">
        <f t="shared" si="4"/>
        <v>-13137592</v>
      </c>
      <c r="L37" s="65">
        <f t="shared" si="4"/>
        <v>-12804000</v>
      </c>
      <c r="M37" s="66">
        <f t="shared" si="4"/>
        <v>-12953803.333333336</v>
      </c>
      <c r="N37" s="171">
        <f t="shared" si="4"/>
        <v>93946221</v>
      </c>
      <c r="O37" s="65">
        <f t="shared" si="4"/>
        <v>118039292</v>
      </c>
      <c r="P37" s="172">
        <f t="shared" si="4"/>
        <v>128200216</v>
      </c>
    </row>
    <row r="38" spans="1:16" ht="81.599999999999994" x14ac:dyDescent="0.2">
      <c r="A38" s="435" t="str">
        <f>'[2]A4-FinPerf RE'!A38</f>
        <v>Transfers and subsidies - capital (monetary allocations) (National / Provincial and District)</v>
      </c>
      <c r="B38" s="61">
        <v>8500000</v>
      </c>
      <c r="C38" s="61">
        <v>7969703</v>
      </c>
      <c r="D38" s="61">
        <v>4101013</v>
      </c>
      <c r="E38" s="61">
        <v>1509177</v>
      </c>
      <c r="F38" s="61">
        <v>1509177</v>
      </c>
      <c r="G38" s="61">
        <v>7500000</v>
      </c>
      <c r="H38" s="61">
        <v>1789000</v>
      </c>
      <c r="I38" s="61">
        <v>802000</v>
      </c>
      <c r="J38" s="61">
        <v>5400000</v>
      </c>
      <c r="K38" s="61">
        <v>7521000</v>
      </c>
      <c r="L38" s="61">
        <v>5610000</v>
      </c>
      <c r="M38" s="75">
        <f>N38-SUM(B38:L38)</f>
        <v>5396930</v>
      </c>
      <c r="N38" s="174">
        <f>'[2]A4-FinPerf RE'!J38</f>
        <v>57608000</v>
      </c>
      <c r="O38" s="53">
        <f>'[2]A4-FinPerf RE'!K38</f>
        <v>67783000</v>
      </c>
      <c r="P38" s="168">
        <f>'[2]A4-FinPerf RE'!L38</f>
        <v>72351000</v>
      </c>
    </row>
    <row r="39" spans="1:16" s="414" customFormat="1" ht="61.2" x14ac:dyDescent="0.3">
      <c r="A39" s="408" t="str">
        <f>'[2]A4-FinPerf RE'!A41</f>
        <v>Surplus/(Deficit) after capital transfers &amp; contributions</v>
      </c>
      <c r="B39" s="409">
        <f t="shared" ref="B39:P39" si="5">B37+SUM(B38:B38)</f>
        <v>107639986</v>
      </c>
      <c r="C39" s="410">
        <f t="shared" si="5"/>
        <v>-7702323</v>
      </c>
      <c r="D39" s="410">
        <f t="shared" si="5"/>
        <v>-13644133</v>
      </c>
      <c r="E39" s="410">
        <f t="shared" si="5"/>
        <v>-14593280.333333336</v>
      </c>
      <c r="F39" s="410">
        <f t="shared" si="5"/>
        <v>-7999806</v>
      </c>
      <c r="G39" s="410">
        <f t="shared" si="5"/>
        <v>80225730</v>
      </c>
      <c r="H39" s="410">
        <f t="shared" si="5"/>
        <v>-13850044</v>
      </c>
      <c r="I39" s="410">
        <f t="shared" si="5"/>
        <v>-7250246</v>
      </c>
      <c r="J39" s="410">
        <f t="shared" si="5"/>
        <v>49095802.666666664</v>
      </c>
      <c r="K39" s="410">
        <f t="shared" si="5"/>
        <v>-5616592</v>
      </c>
      <c r="L39" s="410">
        <f t="shared" si="5"/>
        <v>-7194000</v>
      </c>
      <c r="M39" s="411">
        <f t="shared" si="5"/>
        <v>-7556873.3333333358</v>
      </c>
      <c r="N39" s="412">
        <f t="shared" si="5"/>
        <v>151554221</v>
      </c>
      <c r="O39" s="410">
        <f t="shared" si="5"/>
        <v>185822292</v>
      </c>
      <c r="P39" s="413">
        <f t="shared" si="5"/>
        <v>200551216</v>
      </c>
    </row>
    <row r="40" spans="1:16" x14ac:dyDescent="0.2">
      <c r="A40" s="431" t="str">
        <f>'[2]A4-FinPerf RE'!A42</f>
        <v>Taxation</v>
      </c>
      <c r="B40" s="61"/>
      <c r="C40" s="78"/>
      <c r="D40" s="78"/>
      <c r="E40" s="78"/>
      <c r="F40" s="78"/>
      <c r="G40" s="78"/>
      <c r="H40" s="78"/>
      <c r="I40" s="78"/>
      <c r="J40" s="78"/>
      <c r="K40" s="78"/>
      <c r="L40" s="78"/>
      <c r="M40" s="75">
        <f>N40-SUM(B40:L40)</f>
        <v>0</v>
      </c>
      <c r="N40" s="174">
        <f>'[2]A4-FinPerf RE'!J42</f>
        <v>0</v>
      </c>
      <c r="O40" s="53">
        <f>'[2]A4-FinPerf RE'!K42</f>
        <v>0</v>
      </c>
      <c r="P40" s="168">
        <f>'[2]A4-FinPerf RE'!L42</f>
        <v>0</v>
      </c>
    </row>
    <row r="41" spans="1:16" ht="20.399999999999999" x14ac:dyDescent="0.2">
      <c r="A41" s="431" t="str">
        <f>'[2]A4-FinPerf RE'!A44</f>
        <v>Attributable to minorities</v>
      </c>
      <c r="B41" s="61"/>
      <c r="C41" s="78"/>
      <c r="D41" s="78"/>
      <c r="E41" s="78"/>
      <c r="F41" s="78"/>
      <c r="G41" s="78"/>
      <c r="H41" s="78"/>
      <c r="I41" s="78"/>
      <c r="J41" s="78"/>
      <c r="K41" s="78"/>
      <c r="L41" s="78"/>
      <c r="M41" s="75">
        <f>N41-SUM(B41:L41)</f>
        <v>0</v>
      </c>
      <c r="N41" s="174">
        <f>'[2]A4-FinPerf RE'!J44</f>
        <v>0</v>
      </c>
      <c r="O41" s="53">
        <f>'[2]A4-FinPerf RE'!K44</f>
        <v>0</v>
      </c>
      <c r="P41" s="168">
        <f>'[2]A4-FinPerf RE'!L44</f>
        <v>0</v>
      </c>
    </row>
    <row r="42" spans="1:16" ht="40.799999999999997" x14ac:dyDescent="0.2">
      <c r="A42" s="436" t="str">
        <f>'[2]A4-FinPerf RE'!A46</f>
        <v>Share of surplus/ (deficit) of associate</v>
      </c>
      <c r="B42" s="415"/>
      <c r="C42" s="388"/>
      <c r="D42" s="388"/>
      <c r="E42" s="388"/>
      <c r="F42" s="388"/>
      <c r="G42" s="388"/>
      <c r="H42" s="388"/>
      <c r="I42" s="388"/>
      <c r="J42" s="388"/>
      <c r="K42" s="388"/>
      <c r="L42" s="388"/>
      <c r="M42" s="75">
        <f>N42-SUM(B42:L42)</f>
        <v>0</v>
      </c>
      <c r="N42" s="174">
        <f>'[2]A4-FinPerf RE'!J46</f>
        <v>0</v>
      </c>
      <c r="O42" s="53">
        <f>'[2]A4-FinPerf RE'!K46</f>
        <v>0</v>
      </c>
      <c r="P42" s="168">
        <f>'[2]A4-FinPerf RE'!L46</f>
        <v>0</v>
      </c>
    </row>
    <row r="43" spans="1:16" ht="20.399999999999999" x14ac:dyDescent="0.2">
      <c r="A43" s="176" t="str">
        <f>'[2]A4-FinPerf RE'!A37</f>
        <v>Surplus/(Deficit)</v>
      </c>
      <c r="B43" s="177">
        <f>B39-B40+SUM(B41:B42)</f>
        <v>107639986</v>
      </c>
      <c r="C43" s="178">
        <f t="shared" ref="C43:L43" si="6">C39-C40+SUM(C41:C42)</f>
        <v>-7702323</v>
      </c>
      <c r="D43" s="178">
        <f t="shared" si="6"/>
        <v>-13644133</v>
      </c>
      <c r="E43" s="178">
        <f t="shared" si="6"/>
        <v>-14593280.333333336</v>
      </c>
      <c r="F43" s="178">
        <f t="shared" si="6"/>
        <v>-7999806</v>
      </c>
      <c r="G43" s="178">
        <f t="shared" si="6"/>
        <v>80225730</v>
      </c>
      <c r="H43" s="178">
        <f t="shared" si="6"/>
        <v>-13850044</v>
      </c>
      <c r="I43" s="178">
        <f t="shared" si="6"/>
        <v>-7250246</v>
      </c>
      <c r="J43" s="178">
        <f t="shared" si="6"/>
        <v>49095802.666666664</v>
      </c>
      <c r="K43" s="178">
        <f t="shared" si="6"/>
        <v>-5616592</v>
      </c>
      <c r="L43" s="178">
        <f t="shared" si="6"/>
        <v>-7194000</v>
      </c>
      <c r="M43" s="179">
        <f>M39-M40+SUM(M41:M42)</f>
        <v>-7556873.3333333358</v>
      </c>
      <c r="N43" s="177">
        <f>N39-N40+SUM(N41:N42)</f>
        <v>151554221</v>
      </c>
      <c r="O43" s="178">
        <f>O39-O40+SUM(O41:O42)</f>
        <v>185822292</v>
      </c>
      <c r="P43" s="181">
        <f>P39-P40+SUM(P41:P42)</f>
        <v>200551216</v>
      </c>
    </row>
    <row r="44" spans="1:16" s="183" customFormat="1" x14ac:dyDescent="0.2">
      <c r="A44" s="182">
        <f>head27a</f>
        <v>2</v>
      </c>
      <c r="B44" s="71"/>
      <c r="C44" s="71"/>
      <c r="D44" s="71"/>
      <c r="E44" s="71"/>
      <c r="F44" s="71"/>
      <c r="G44" s="71"/>
      <c r="H44" s="71"/>
      <c r="I44" s="71"/>
      <c r="J44" s="71"/>
      <c r="K44" s="71"/>
      <c r="L44" s="71"/>
      <c r="M44" s="71"/>
      <c r="N44" s="71"/>
      <c r="O44" s="71"/>
      <c r="P44" s="71"/>
    </row>
    <row r="45" spans="1:16" s="183" customFormat="1" ht="13.95" customHeight="1" x14ac:dyDescent="0.2">
      <c r="A45" s="613" t="s">
        <v>516</v>
      </c>
      <c r="B45" s="613"/>
      <c r="C45" s="613"/>
      <c r="D45" s="613"/>
      <c r="E45" s="613"/>
      <c r="F45" s="613"/>
      <c r="G45" s="613"/>
      <c r="H45" s="613"/>
      <c r="I45" s="613"/>
      <c r="J45" s="613"/>
      <c r="K45" s="613"/>
      <c r="L45" s="613"/>
      <c r="M45" s="613"/>
      <c r="N45" s="613"/>
      <c r="O45" s="613"/>
      <c r="P45" s="613"/>
    </row>
    <row r="46" spans="1:16" x14ac:dyDescent="0.2">
      <c r="A46" s="437" t="s">
        <v>450</v>
      </c>
      <c r="N46" s="184">
        <f>N43-'[2]A4-FinPerf RE'!J47</f>
        <v>0</v>
      </c>
      <c r="O46" s="184">
        <f>O43-'[2]A4-FinPerf RE'!K47</f>
        <v>0</v>
      </c>
      <c r="P46" s="184">
        <f>P43-'[2]A4-FinPerf RE'!L47</f>
        <v>0</v>
      </c>
    </row>
  </sheetData>
  <mergeCells count="4">
    <mergeCell ref="B2:M2"/>
    <mergeCell ref="N2:P2"/>
    <mergeCell ref="A1:P1"/>
    <mergeCell ref="A45:P45"/>
  </mergeCells>
  <pageMargins left="0.7" right="0.7" top="0.75" bottom="0.75" header="0.3" footer="0.3"/>
  <pageSetup paperSize="9" scale="96"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7"/>
  <sheetViews>
    <sheetView view="pageBreakPreview" zoomScale="60" zoomScaleNormal="100" workbookViewId="0">
      <selection activeCell="P32" sqref="P32"/>
    </sheetView>
  </sheetViews>
  <sheetFormatPr defaultColWidth="9.109375" defaultRowHeight="10.199999999999999" x14ac:dyDescent="0.2"/>
  <cols>
    <col min="1" max="1" width="7" style="429" customWidth="1"/>
    <col min="2" max="2" width="7.6640625" style="46" customWidth="1"/>
    <col min="3" max="5" width="7.5546875" style="46" customWidth="1"/>
    <col min="6" max="6" width="6.88671875" style="46" customWidth="1"/>
    <col min="7" max="13" width="8.33203125" style="46" customWidth="1"/>
    <col min="14" max="16" width="9.33203125" style="46" customWidth="1"/>
    <col min="17" max="16384" width="9.109375" style="46"/>
  </cols>
  <sheetData>
    <row r="1" spans="1:17" ht="18" customHeight="1" x14ac:dyDescent="0.2">
      <c r="A1" s="614" t="e">
        <f>muni&amp;" - "&amp;TableA26</f>
        <v>#REF!</v>
      </c>
      <c r="B1" s="614"/>
      <c r="C1" s="614"/>
      <c r="D1" s="614"/>
      <c r="E1" s="614"/>
      <c r="F1" s="614"/>
      <c r="G1" s="614"/>
      <c r="H1" s="614"/>
      <c r="I1" s="614"/>
      <c r="J1" s="614"/>
      <c r="K1" s="614"/>
      <c r="L1" s="614"/>
      <c r="M1" s="614"/>
      <c r="N1" s="614"/>
      <c r="O1" s="614"/>
      <c r="P1" s="614"/>
    </row>
    <row r="2" spans="1:17" ht="20.399999999999999" customHeight="1" x14ac:dyDescent="0.2">
      <c r="A2" s="155">
        <f>desc</f>
        <v>0</v>
      </c>
      <c r="B2" s="602">
        <f>Head9</f>
        <v>0</v>
      </c>
      <c r="C2" s="603"/>
      <c r="D2" s="603"/>
      <c r="E2" s="603"/>
      <c r="F2" s="603"/>
      <c r="G2" s="603"/>
      <c r="H2" s="603"/>
      <c r="I2" s="603"/>
      <c r="J2" s="603"/>
      <c r="K2" s="603"/>
      <c r="L2" s="603"/>
      <c r="M2" s="603"/>
      <c r="N2" s="604" t="s">
        <v>436</v>
      </c>
      <c r="O2" s="605"/>
      <c r="P2" s="606"/>
    </row>
    <row r="3" spans="1:17" ht="20.399999999999999" x14ac:dyDescent="0.2">
      <c r="A3" s="156" t="s">
        <v>515</v>
      </c>
      <c r="B3" s="157" t="s">
        <v>437</v>
      </c>
      <c r="C3" s="158" t="s">
        <v>438</v>
      </c>
      <c r="D3" s="158" t="s">
        <v>439</v>
      </c>
      <c r="E3" s="158" t="s">
        <v>440</v>
      </c>
      <c r="F3" s="158" t="s">
        <v>441</v>
      </c>
      <c r="G3" s="158" t="s">
        <v>442</v>
      </c>
      <c r="H3" s="158" t="s">
        <v>443</v>
      </c>
      <c r="I3" s="158" t="s">
        <v>444</v>
      </c>
      <c r="J3" s="158" t="s">
        <v>445</v>
      </c>
      <c r="K3" s="158" t="s">
        <v>446</v>
      </c>
      <c r="L3" s="158" t="s">
        <v>447</v>
      </c>
      <c r="M3" s="159" t="s">
        <v>448</v>
      </c>
      <c r="N3" s="157">
        <f>Head9</f>
        <v>0</v>
      </c>
      <c r="O3" s="160">
        <f>Head10</f>
        <v>0</v>
      </c>
      <c r="P3" s="159">
        <f>Head11</f>
        <v>0</v>
      </c>
    </row>
    <row r="4" spans="1:17" ht="20.399999999999999" customHeight="1" x14ac:dyDescent="0.2">
      <c r="A4" s="433" t="str">
        <f>'[2]A3-FinPerf V'!A4</f>
        <v>Revenue by Vote</v>
      </c>
      <c r="B4" s="162"/>
      <c r="C4" s="163"/>
      <c r="D4" s="163"/>
      <c r="E4" s="163"/>
      <c r="F4" s="163"/>
      <c r="G4" s="163"/>
      <c r="H4" s="163"/>
      <c r="I4" s="163"/>
      <c r="J4" s="163"/>
      <c r="K4" s="163"/>
      <c r="L4" s="163"/>
      <c r="M4" s="164"/>
      <c r="N4" s="165"/>
      <c r="O4" s="163"/>
      <c r="P4" s="166"/>
    </row>
    <row r="5" spans="1:17" ht="12.75" customHeight="1" x14ac:dyDescent="0.2">
      <c r="A5" s="438" t="str">
        <f>'[2]A3-FinPerf V'!A5</f>
        <v>Vote 1 - Executive &amp; Council</v>
      </c>
      <c r="B5" s="167"/>
      <c r="C5" s="78"/>
      <c r="D5" s="78"/>
      <c r="E5" s="78"/>
      <c r="F5" s="78"/>
      <c r="G5" s="78"/>
      <c r="H5" s="78"/>
      <c r="I5" s="78"/>
      <c r="J5" s="78"/>
      <c r="K5" s="78"/>
      <c r="L5" s="78"/>
      <c r="M5" s="75">
        <f t="shared" ref="M5:M10" si="0">N5-SUM(B5:L5)</f>
        <v>0</v>
      </c>
      <c r="N5" s="89">
        <f>'[2]A3-FinPerf V'!I5</f>
        <v>0</v>
      </c>
      <c r="O5" s="53">
        <f>'[2]A3-FinPerf V'!J5</f>
        <v>0</v>
      </c>
      <c r="P5" s="168">
        <f>'[2]A3-FinPerf V'!K5</f>
        <v>0</v>
      </c>
    </row>
    <row r="6" spans="1:17" ht="12.75" customHeight="1" x14ac:dyDescent="0.2">
      <c r="A6" s="438" t="str">
        <f>'[2]A3-FinPerf V'!A6</f>
        <v>Vote 2 - Finance and Administration</v>
      </c>
      <c r="B6" s="167">
        <v>138225024</v>
      </c>
      <c r="C6" s="167">
        <v>4058511</v>
      </c>
      <c r="D6" s="167">
        <v>1489422</v>
      </c>
      <c r="E6" s="167">
        <v>2382104</v>
      </c>
      <c r="F6" s="167">
        <v>2178136</v>
      </c>
      <c r="G6" s="167">
        <v>93674951</v>
      </c>
      <c r="H6" s="167">
        <v>3569000</v>
      </c>
      <c r="I6" s="167">
        <v>38989000</v>
      </c>
      <c r="J6" s="167">
        <v>91471000</v>
      </c>
      <c r="K6" s="167">
        <v>9875000</v>
      </c>
      <c r="L6" s="167">
        <v>6987000</v>
      </c>
      <c r="M6" s="75">
        <f t="shared" si="0"/>
        <v>2490213</v>
      </c>
      <c r="N6" s="89">
        <f>'[2]A3-FinPerf V'!I6</f>
        <v>395389361</v>
      </c>
      <c r="O6" s="106">
        <f>'[2]A3-FinPerf V'!J6</f>
        <v>420077858</v>
      </c>
      <c r="P6" s="169">
        <f>'[2]A3-FinPerf V'!K6</f>
        <v>449627111</v>
      </c>
    </row>
    <row r="7" spans="1:17" ht="12.75" customHeight="1" x14ac:dyDescent="0.2">
      <c r="A7" s="438" t="str">
        <f>'[2]A3-FinPerf V'!A7</f>
        <v>Vote 3 - Internal Audit</v>
      </c>
      <c r="B7" s="167"/>
      <c r="C7" s="167"/>
      <c r="D7" s="167"/>
      <c r="E7" s="167"/>
      <c r="F7" s="167"/>
      <c r="G7" s="167"/>
      <c r="H7" s="167"/>
      <c r="I7" s="167"/>
      <c r="J7" s="167"/>
      <c r="K7" s="167"/>
      <c r="L7" s="167"/>
      <c r="M7" s="75">
        <f t="shared" si="0"/>
        <v>0</v>
      </c>
      <c r="N7" s="89">
        <f>'[2]A3-FinPerf V'!I7</f>
        <v>0</v>
      </c>
      <c r="O7" s="106">
        <f>'[2]A3-FinPerf V'!J7</f>
        <v>0</v>
      </c>
      <c r="P7" s="169">
        <f>'[2]A3-FinPerf V'!K7</f>
        <v>0</v>
      </c>
    </row>
    <row r="8" spans="1:17" ht="12.75" customHeight="1" x14ac:dyDescent="0.2">
      <c r="A8" s="438" t="str">
        <f>'[2]A3-FinPerf V'!A8</f>
        <v>Vote 4 - Community and Public Safety</v>
      </c>
      <c r="B8" s="167"/>
      <c r="C8" s="167"/>
      <c r="D8" s="167"/>
      <c r="E8" s="167"/>
      <c r="F8" s="167"/>
      <c r="G8" s="167"/>
      <c r="H8" s="167"/>
      <c r="I8" s="167"/>
      <c r="J8" s="167"/>
      <c r="K8" s="167"/>
      <c r="L8" s="167"/>
      <c r="M8" s="75">
        <f t="shared" si="0"/>
        <v>0</v>
      </c>
      <c r="N8" s="89">
        <f>'[2]A3-FinPerf V'!I8</f>
        <v>0</v>
      </c>
      <c r="O8" s="106">
        <f>'[2]A3-FinPerf V'!J8</f>
        <v>0</v>
      </c>
      <c r="P8" s="169">
        <f>'[2]A3-FinPerf V'!K8</f>
        <v>0</v>
      </c>
    </row>
    <row r="9" spans="1:17" ht="12.75" customHeight="1" x14ac:dyDescent="0.2">
      <c r="A9" s="438" t="str">
        <f>'[2]A3-FinPerf V'!A9</f>
        <v>Vote 5 - Sports and Recreation</v>
      </c>
      <c r="B9" s="167"/>
      <c r="C9" s="167"/>
      <c r="D9" s="167"/>
      <c r="E9" s="167"/>
      <c r="F9" s="167"/>
      <c r="G9" s="167"/>
      <c r="H9" s="167"/>
      <c r="I9" s="167"/>
      <c r="J9" s="167"/>
      <c r="K9" s="167"/>
      <c r="L9" s="167"/>
      <c r="M9" s="75">
        <f t="shared" si="0"/>
        <v>0</v>
      </c>
      <c r="N9" s="89">
        <f>'[2]A3-FinPerf V'!I9</f>
        <v>0</v>
      </c>
      <c r="O9" s="106">
        <f>'[2]A3-FinPerf V'!J9</f>
        <v>0</v>
      </c>
      <c r="P9" s="169">
        <f>'[2]A3-FinPerf V'!K9</f>
        <v>0</v>
      </c>
    </row>
    <row r="10" spans="1:17" ht="12.75" customHeight="1" x14ac:dyDescent="0.2">
      <c r="A10" s="438" t="str">
        <f>'[2]A3-FinPerf V'!A10</f>
        <v>Vote 6 - Housing</v>
      </c>
      <c r="B10" s="167"/>
      <c r="C10" s="167"/>
      <c r="D10" s="167"/>
      <c r="E10" s="167"/>
      <c r="F10" s="167"/>
      <c r="G10" s="167"/>
      <c r="H10" s="167"/>
      <c r="I10" s="167"/>
      <c r="J10" s="167"/>
      <c r="K10" s="167"/>
      <c r="L10" s="167"/>
      <c r="M10" s="75">
        <f t="shared" si="0"/>
        <v>0</v>
      </c>
      <c r="N10" s="89">
        <f>'[2]A3-FinPerf V'!I10</f>
        <v>0</v>
      </c>
      <c r="O10" s="106">
        <f>'[2]A3-FinPerf V'!J10</f>
        <v>0</v>
      </c>
      <c r="P10" s="169">
        <f>'[2]A3-FinPerf V'!K10</f>
        <v>0</v>
      </c>
    </row>
    <row r="11" spans="1:17" ht="12.75" customHeight="1" x14ac:dyDescent="0.2">
      <c r="A11" s="438" t="str">
        <f>'[2]A3-FinPerf V'!A11</f>
        <v xml:space="preserve">Vote 7 - Planning and development </v>
      </c>
      <c r="B11" s="167"/>
      <c r="C11" s="167"/>
      <c r="D11" s="167"/>
      <c r="E11" s="167"/>
      <c r="F11" s="167"/>
      <c r="G11" s="167"/>
      <c r="H11" s="167"/>
      <c r="I11" s="167"/>
      <c r="J11" s="167"/>
      <c r="K11" s="167"/>
      <c r="L11" s="167"/>
      <c r="M11" s="75">
        <f>N11-SUM(B11:L11)</f>
        <v>0</v>
      </c>
      <c r="N11" s="89">
        <f>'[2]A3-FinPerf V'!I11</f>
        <v>0</v>
      </c>
      <c r="O11" s="106">
        <f>'[2]A3-FinPerf V'!J11</f>
        <v>0</v>
      </c>
      <c r="P11" s="169">
        <f>'[2]A3-FinPerf V'!K11</f>
        <v>0</v>
      </c>
    </row>
    <row r="12" spans="1:17" ht="12.75" customHeight="1" x14ac:dyDescent="0.2">
      <c r="A12" s="438" t="str">
        <f>'[2]A3-FinPerf V'!A12</f>
        <v>Vote 8 - Road Transport</v>
      </c>
      <c r="B12" s="62">
        <f>9100+1281356</f>
        <v>1290456</v>
      </c>
      <c r="C12" s="54">
        <f>6275+1355115+394478</f>
        <v>1755868</v>
      </c>
      <c r="D12" s="54">
        <f>3534+1189501</f>
        <v>1193035</v>
      </c>
      <c r="E12" s="54">
        <v>1177999</v>
      </c>
      <c r="F12" s="54">
        <f>3546+1631888</f>
        <v>1635434</v>
      </c>
      <c r="G12" s="90">
        <f>6200+1064869</f>
        <v>1071069</v>
      </c>
      <c r="H12" s="62">
        <v>3587400</v>
      </c>
      <c r="I12" s="54">
        <v>2900000</v>
      </c>
      <c r="J12" s="54">
        <v>2854000</v>
      </c>
      <c r="K12" s="54">
        <v>2398000</v>
      </c>
      <c r="L12" s="62">
        <v>3587400</v>
      </c>
      <c r="M12" s="75">
        <f>N12-SUM(B12:L12)</f>
        <v>3965531</v>
      </c>
      <c r="N12" s="89">
        <f>'[2]A3-FinPerf V'!I12</f>
        <v>27416192</v>
      </c>
      <c r="O12" s="106">
        <f>'[2]A3-FinPerf V'!J12</f>
        <v>28896666</v>
      </c>
      <c r="P12" s="169">
        <f>'[2]A3-FinPerf V'!K12</f>
        <v>30457086</v>
      </c>
    </row>
    <row r="13" spans="1:17" ht="18" customHeight="1" x14ac:dyDescent="0.2">
      <c r="A13" s="438" t="str">
        <f>'[2]A3-FinPerf V'!A13</f>
        <v>Vote 9 - Energy Sources</v>
      </c>
      <c r="B13" s="62">
        <f>980865+2417</f>
        <v>983282</v>
      </c>
      <c r="C13" s="54">
        <f>751288+2313</f>
        <v>753601</v>
      </c>
      <c r="D13" s="54">
        <f>617206+2157</f>
        <v>619363</v>
      </c>
      <c r="E13" s="54">
        <f>821378+2470</f>
        <v>823848</v>
      </c>
      <c r="F13" s="54">
        <f>268544+312151</f>
        <v>580695</v>
      </c>
      <c r="G13" s="90">
        <f>625868+658534</f>
        <v>1284402</v>
      </c>
      <c r="H13" s="62">
        <v>2542000</v>
      </c>
      <c r="I13" s="54">
        <v>3542000</v>
      </c>
      <c r="J13" s="54">
        <v>3841000</v>
      </c>
      <c r="K13" s="54">
        <v>4854000</v>
      </c>
      <c r="L13" s="54">
        <v>6637200</v>
      </c>
      <c r="M13" s="75">
        <f>N13-SUM(B13:L13)</f>
        <v>2203446</v>
      </c>
      <c r="N13" s="89">
        <f>'[2]A3-FinPerf V'!I13</f>
        <v>28664837</v>
      </c>
      <c r="O13" s="106">
        <f>'[2]A3-FinPerf V'!J13</f>
        <v>37212738</v>
      </c>
      <c r="P13" s="169">
        <f>'[2]A3-FinPerf V'!K13</f>
        <v>38844226</v>
      </c>
      <c r="Q13" s="76"/>
    </row>
    <row r="14" spans="1:17" ht="12.75" customHeight="1" x14ac:dyDescent="0.2">
      <c r="A14" s="438" t="str">
        <f>'[2]A3-FinPerf V'!A14</f>
        <v>Vote 10 - Waste Water Management</v>
      </c>
      <c r="B14" s="167">
        <v>0</v>
      </c>
      <c r="C14" s="167">
        <v>0</v>
      </c>
      <c r="D14" s="167">
        <v>0</v>
      </c>
      <c r="E14" s="167">
        <v>0</v>
      </c>
      <c r="F14" s="167">
        <v>0</v>
      </c>
      <c r="G14" s="167">
        <v>0</v>
      </c>
      <c r="H14" s="167">
        <v>0</v>
      </c>
      <c r="I14" s="167">
        <v>0</v>
      </c>
      <c r="J14" s="167">
        <v>0</v>
      </c>
      <c r="K14" s="167">
        <v>0</v>
      </c>
      <c r="L14" s="167">
        <v>0</v>
      </c>
      <c r="M14" s="75">
        <f t="shared" ref="M14:M19" si="1">N14-SUM(B14:L14)</f>
        <v>0</v>
      </c>
      <c r="N14" s="89">
        <f>'[2]A3-FinPerf V'!I14</f>
        <v>0</v>
      </c>
      <c r="O14" s="106">
        <f>'[2]A3-FinPerf V'!J14</f>
        <v>0</v>
      </c>
      <c r="P14" s="169">
        <f>'[2]A3-FinPerf V'!K14</f>
        <v>0</v>
      </c>
      <c r="Q14" s="76"/>
    </row>
    <row r="15" spans="1:17" ht="12.75" customHeight="1" x14ac:dyDescent="0.2">
      <c r="A15" s="438" t="str">
        <f>'[2]A3-FinPerf V'!A15</f>
        <v>Vote 11 - Waste Management</v>
      </c>
      <c r="B15" s="62">
        <v>402000</v>
      </c>
      <c r="C15" s="54">
        <v>609000</v>
      </c>
      <c r="D15" s="54">
        <v>759000</v>
      </c>
      <c r="E15" s="54">
        <v>838000</v>
      </c>
      <c r="F15" s="54">
        <v>948000</v>
      </c>
      <c r="G15" s="90">
        <v>860000</v>
      </c>
      <c r="H15" s="62">
        <v>254000</v>
      </c>
      <c r="I15" s="54">
        <v>498000</v>
      </c>
      <c r="J15" s="54">
        <v>850000</v>
      </c>
      <c r="K15" s="54">
        <v>1095000</v>
      </c>
      <c r="L15" s="54">
        <v>1023000</v>
      </c>
      <c r="M15" s="75">
        <f t="shared" si="1"/>
        <v>536053</v>
      </c>
      <c r="N15" s="89">
        <f>'[2]A3-FinPerf V'!I15</f>
        <v>8672053</v>
      </c>
      <c r="O15" s="106">
        <f>'[2]A3-FinPerf V'!J15</f>
        <v>9140344</v>
      </c>
      <c r="P15" s="169">
        <f>'[2]A3-FinPerf V'!K15</f>
        <v>9633923</v>
      </c>
      <c r="Q15" s="76"/>
    </row>
    <row r="16" spans="1:17" ht="12.75" customHeight="1" x14ac:dyDescent="0.2">
      <c r="A16" s="438" t="str">
        <f>'[2]A3-FinPerf V'!A16</f>
        <v>Vote 12 - [NAME OF VOTE 12]</v>
      </c>
      <c r="B16" s="167">
        <v>0</v>
      </c>
      <c r="C16" s="167">
        <v>0</v>
      </c>
      <c r="D16" s="167">
        <v>0</v>
      </c>
      <c r="E16" s="167">
        <v>0</v>
      </c>
      <c r="F16" s="167">
        <v>0</v>
      </c>
      <c r="G16" s="167">
        <v>0</v>
      </c>
      <c r="H16" s="167">
        <v>0</v>
      </c>
      <c r="I16" s="167">
        <v>0</v>
      </c>
      <c r="J16" s="167">
        <v>0</v>
      </c>
      <c r="K16" s="167">
        <v>0</v>
      </c>
      <c r="L16" s="167">
        <v>0</v>
      </c>
      <c r="M16" s="75">
        <f t="shared" si="1"/>
        <v>0</v>
      </c>
      <c r="N16" s="89">
        <f>'[2]A3-FinPerf V'!I16</f>
        <v>0</v>
      </c>
      <c r="O16" s="106">
        <f>'[2]A3-FinPerf V'!J16</f>
        <v>0</v>
      </c>
      <c r="P16" s="169">
        <f>'[2]A3-FinPerf V'!K16</f>
        <v>0</v>
      </c>
      <c r="Q16" s="76"/>
    </row>
    <row r="17" spans="1:17" ht="12.75" customHeight="1" x14ac:dyDescent="0.2">
      <c r="A17" s="438" t="str">
        <f>'[2]A3-FinPerf V'!A17</f>
        <v>Vote 13 - [NAME OF VOTE 13]</v>
      </c>
      <c r="B17" s="167">
        <v>0</v>
      </c>
      <c r="C17" s="78">
        <v>0</v>
      </c>
      <c r="D17" s="78">
        <v>0</v>
      </c>
      <c r="E17" s="78">
        <v>0</v>
      </c>
      <c r="F17" s="78">
        <v>0</v>
      </c>
      <c r="G17" s="78">
        <v>0</v>
      </c>
      <c r="H17" s="78">
        <v>0</v>
      </c>
      <c r="I17" s="78">
        <v>0</v>
      </c>
      <c r="J17" s="78">
        <v>0</v>
      </c>
      <c r="K17" s="78">
        <v>0</v>
      </c>
      <c r="L17" s="78">
        <v>0</v>
      </c>
      <c r="M17" s="75">
        <f t="shared" si="1"/>
        <v>0</v>
      </c>
      <c r="N17" s="89">
        <f>'[2]A3-FinPerf V'!I17</f>
        <v>0</v>
      </c>
      <c r="O17" s="106">
        <f>'[2]A3-FinPerf V'!J17</f>
        <v>0</v>
      </c>
      <c r="P17" s="169">
        <f>'[2]A3-FinPerf V'!K17</f>
        <v>0</v>
      </c>
      <c r="Q17" s="76"/>
    </row>
    <row r="18" spans="1:17" ht="12.75" customHeight="1" x14ac:dyDescent="0.2">
      <c r="A18" s="438" t="str">
        <f>'[2]A3-FinPerf V'!A18</f>
        <v>Vote 14 - [NAME OF VOTE 14]</v>
      </c>
      <c r="B18" s="167">
        <v>0</v>
      </c>
      <c r="C18" s="78">
        <v>0</v>
      </c>
      <c r="D18" s="78">
        <v>0</v>
      </c>
      <c r="E18" s="78">
        <v>0</v>
      </c>
      <c r="F18" s="78">
        <v>0</v>
      </c>
      <c r="G18" s="78">
        <v>0</v>
      </c>
      <c r="H18" s="78">
        <v>0</v>
      </c>
      <c r="I18" s="78">
        <v>0</v>
      </c>
      <c r="J18" s="78">
        <v>0</v>
      </c>
      <c r="K18" s="78">
        <v>0</v>
      </c>
      <c r="L18" s="78">
        <v>0</v>
      </c>
      <c r="M18" s="75">
        <f t="shared" si="1"/>
        <v>0</v>
      </c>
      <c r="N18" s="89">
        <f>'[2]A3-FinPerf V'!I18</f>
        <v>0</v>
      </c>
      <c r="O18" s="106">
        <f>'[2]A3-FinPerf V'!J18</f>
        <v>0</v>
      </c>
      <c r="P18" s="169">
        <f>'[2]A3-FinPerf V'!K18</f>
        <v>0</v>
      </c>
      <c r="Q18" s="76"/>
    </row>
    <row r="19" spans="1:17" ht="12.75" customHeight="1" x14ac:dyDescent="0.2">
      <c r="A19" s="438" t="str">
        <f>'[2]A3-FinPerf V'!A19</f>
        <v>Vote 15 - [NAME OF VOTE 15]</v>
      </c>
      <c r="B19" s="167">
        <v>0</v>
      </c>
      <c r="C19" s="78">
        <v>0</v>
      </c>
      <c r="D19" s="78">
        <v>0</v>
      </c>
      <c r="E19" s="78">
        <v>0</v>
      </c>
      <c r="F19" s="78">
        <v>0</v>
      </c>
      <c r="G19" s="78">
        <v>0</v>
      </c>
      <c r="H19" s="78">
        <v>0</v>
      </c>
      <c r="I19" s="78">
        <v>0</v>
      </c>
      <c r="J19" s="78">
        <v>0</v>
      </c>
      <c r="K19" s="78">
        <v>0</v>
      </c>
      <c r="L19" s="78">
        <v>0</v>
      </c>
      <c r="M19" s="75">
        <f t="shared" si="1"/>
        <v>0</v>
      </c>
      <c r="N19" s="89">
        <f>'[2]A3-FinPerf V'!I19</f>
        <v>0</v>
      </c>
      <c r="O19" s="106">
        <f>'[2]A3-FinPerf V'!J19</f>
        <v>0</v>
      </c>
      <c r="P19" s="169">
        <f>'[2]A3-FinPerf V'!K19</f>
        <v>0</v>
      </c>
      <c r="Q19" s="76"/>
    </row>
    <row r="20" spans="1:17" ht="12.75" customHeight="1" x14ac:dyDescent="0.2">
      <c r="A20" s="314" t="str">
        <f>'[2]A3-FinPerf V'!A20</f>
        <v>Total Revenue by Vote</v>
      </c>
      <c r="B20" s="171">
        <f t="shared" ref="B20:P20" si="2">SUM(B5:B19)</f>
        <v>140900762</v>
      </c>
      <c r="C20" s="65">
        <f t="shared" si="2"/>
        <v>7176980</v>
      </c>
      <c r="D20" s="65">
        <f t="shared" si="2"/>
        <v>4060820</v>
      </c>
      <c r="E20" s="65">
        <f>SUM(E5:E19)</f>
        <v>5221951</v>
      </c>
      <c r="F20" s="65">
        <f t="shared" si="2"/>
        <v>5342265</v>
      </c>
      <c r="G20" s="65">
        <f t="shared" si="2"/>
        <v>96890422</v>
      </c>
      <c r="H20" s="65">
        <f t="shared" si="2"/>
        <v>9952400</v>
      </c>
      <c r="I20" s="65">
        <f t="shared" si="2"/>
        <v>45929000</v>
      </c>
      <c r="J20" s="65">
        <f t="shared" si="2"/>
        <v>99016000</v>
      </c>
      <c r="K20" s="65">
        <f t="shared" si="2"/>
        <v>18222000</v>
      </c>
      <c r="L20" s="65">
        <f t="shared" si="2"/>
        <v>18234600</v>
      </c>
      <c r="M20" s="66">
        <f t="shared" si="2"/>
        <v>9195243</v>
      </c>
      <c r="N20" s="64">
        <f t="shared" si="2"/>
        <v>460142443</v>
      </c>
      <c r="O20" s="65">
        <f t="shared" si="2"/>
        <v>495327606</v>
      </c>
      <c r="P20" s="172">
        <f t="shared" si="2"/>
        <v>528562346</v>
      </c>
      <c r="Q20" s="76"/>
    </row>
    <row r="21" spans="1:17" ht="12.75" customHeight="1" x14ac:dyDescent="0.2">
      <c r="A21" s="433" t="str">
        <f>'[2]A3-FinPerf V'!A22</f>
        <v>Expenditure by Vote to be appropriated</v>
      </c>
      <c r="B21" s="174"/>
      <c r="C21" s="53"/>
      <c r="D21" s="53"/>
      <c r="E21" s="53"/>
      <c r="F21" s="53"/>
      <c r="G21" s="53"/>
      <c r="H21" s="53"/>
      <c r="I21" s="53"/>
      <c r="J21" s="53"/>
      <c r="K21" s="53"/>
      <c r="L21" s="53"/>
      <c r="M21" s="75"/>
      <c r="N21" s="89"/>
      <c r="O21" s="53"/>
      <c r="P21" s="168"/>
      <c r="Q21" s="76"/>
    </row>
    <row r="22" spans="1:17" ht="12.75" customHeight="1" x14ac:dyDescent="0.2">
      <c r="A22" s="431" t="str">
        <f t="shared" ref="A22:A36" si="3">A5</f>
        <v>Vote 1 - Executive &amp; Council</v>
      </c>
      <c r="B22" s="62">
        <v>2863654</v>
      </c>
      <c r="C22" s="54">
        <v>4374829</v>
      </c>
      <c r="D22" s="54">
        <v>4329771</v>
      </c>
      <c r="E22" s="54">
        <v>4433841</v>
      </c>
      <c r="F22" s="54">
        <v>4433841</v>
      </c>
      <c r="G22" s="90">
        <v>7928117</v>
      </c>
      <c r="H22" s="62">
        <v>3317269</v>
      </c>
      <c r="I22" s="54">
        <v>3541000</v>
      </c>
      <c r="J22" s="54">
        <v>4100000</v>
      </c>
      <c r="K22" s="54">
        <v>3894000</v>
      </c>
      <c r="L22" s="54">
        <v>4521000</v>
      </c>
      <c r="M22" s="75">
        <f t="shared" ref="M22:M28" si="4">N22-SUM(B22:L22)</f>
        <v>7305485</v>
      </c>
      <c r="N22" s="89">
        <f>'[2]A3-FinPerf V'!I23</f>
        <v>55042807</v>
      </c>
      <c r="O22" s="53">
        <f>'[2]A3-FinPerf V'!J23</f>
        <v>58188850</v>
      </c>
      <c r="P22" s="168">
        <f>'[2]A3-FinPerf V'!K23</f>
        <v>61461249</v>
      </c>
      <c r="Q22" s="76"/>
    </row>
    <row r="23" spans="1:17" ht="12.75" customHeight="1" x14ac:dyDescent="0.2">
      <c r="A23" s="431" t="str">
        <f t="shared" si="3"/>
        <v>Vote 2 - Finance and Administration</v>
      </c>
      <c r="B23" s="62">
        <v>8447000</v>
      </c>
      <c r="C23" s="54">
        <v>9154000</v>
      </c>
      <c r="D23" s="54">
        <v>8193438</v>
      </c>
      <c r="E23" s="54">
        <v>8174277</v>
      </c>
      <c r="F23" s="54">
        <v>8174277</v>
      </c>
      <c r="G23" s="90">
        <v>15762859</v>
      </c>
      <c r="H23" s="62">
        <v>6707169</v>
      </c>
      <c r="I23" s="54">
        <v>9412000</v>
      </c>
      <c r="J23" s="54">
        <v>6061800</v>
      </c>
      <c r="K23" s="54">
        <v>6874000</v>
      </c>
      <c r="L23" s="54">
        <v>7251000</v>
      </c>
      <c r="M23" s="75">
        <f t="shared" si="4"/>
        <v>4134557</v>
      </c>
      <c r="N23" s="89">
        <f>'[2]A3-FinPerf V'!I24</f>
        <v>98346377</v>
      </c>
      <c r="O23" s="53">
        <f>'[2]A3-FinPerf V'!J24</f>
        <v>103669749</v>
      </c>
      <c r="P23" s="168">
        <f>'[2]A3-FinPerf V'!K24</f>
        <v>109799312</v>
      </c>
      <c r="Q23" s="76"/>
    </row>
    <row r="24" spans="1:17" ht="12.75" customHeight="1" x14ac:dyDescent="0.2">
      <c r="A24" s="431" t="str">
        <f t="shared" si="3"/>
        <v>Vote 3 - Internal Audit</v>
      </c>
      <c r="B24" s="62">
        <v>213000</v>
      </c>
      <c r="C24" s="54">
        <v>240000</v>
      </c>
      <c r="D24" s="54">
        <v>183000</v>
      </c>
      <c r="E24" s="54">
        <v>182000</v>
      </c>
      <c r="F24" s="54">
        <v>132219</v>
      </c>
      <c r="G24" s="90">
        <v>196970</v>
      </c>
      <c r="H24" s="62">
        <v>157386</v>
      </c>
      <c r="I24" s="54">
        <v>254000</v>
      </c>
      <c r="J24" s="54">
        <v>352000</v>
      </c>
      <c r="K24" s="54">
        <v>252000</v>
      </c>
      <c r="L24" s="54">
        <v>289000</v>
      </c>
      <c r="M24" s="75">
        <f t="shared" si="4"/>
        <v>175156</v>
      </c>
      <c r="N24" s="89">
        <f>'[2]A3-FinPerf V'!I25</f>
        <v>2626731</v>
      </c>
      <c r="O24" s="53">
        <f>'[2]A3-FinPerf V'!J25</f>
        <v>2792493</v>
      </c>
      <c r="P24" s="168">
        <f>'[2]A3-FinPerf V'!K25</f>
        <v>2968857</v>
      </c>
      <c r="Q24" s="76"/>
    </row>
    <row r="25" spans="1:17" ht="12.75" customHeight="1" x14ac:dyDescent="0.2">
      <c r="A25" s="431" t="str">
        <f t="shared" si="3"/>
        <v>Vote 4 - Community and Public Safety</v>
      </c>
      <c r="B25" s="167">
        <v>268117</v>
      </c>
      <c r="C25" s="167">
        <v>337371</v>
      </c>
      <c r="D25" s="167">
        <v>441731</v>
      </c>
      <c r="E25" s="167">
        <v>296998</v>
      </c>
      <c r="F25" s="167">
        <v>296998</v>
      </c>
      <c r="G25" s="167">
        <v>345619</v>
      </c>
      <c r="H25" s="167">
        <v>294257</v>
      </c>
      <c r="I25" s="167">
        <v>365000</v>
      </c>
      <c r="J25" s="167">
        <v>246000</v>
      </c>
      <c r="K25" s="167">
        <v>651000</v>
      </c>
      <c r="L25" s="167">
        <v>698000</v>
      </c>
      <c r="M25" s="75">
        <f t="shared" si="4"/>
        <v>5861818</v>
      </c>
      <c r="N25" s="89">
        <f>'[2]A3-FinPerf V'!I26</f>
        <v>10102909</v>
      </c>
      <c r="O25" s="53">
        <f>'[2]A3-FinPerf V'!J26</f>
        <v>6712339</v>
      </c>
      <c r="P25" s="168">
        <f>'[2]A3-FinPerf V'!K26</f>
        <v>7359085</v>
      </c>
      <c r="Q25" s="76"/>
    </row>
    <row r="26" spans="1:17" ht="12.75" customHeight="1" x14ac:dyDescent="0.2">
      <c r="A26" s="431" t="str">
        <f t="shared" si="3"/>
        <v>Vote 5 - Sports and Recreation</v>
      </c>
      <c r="B26" s="167">
        <v>1276000</v>
      </c>
      <c r="C26" s="167">
        <v>1144415</v>
      </c>
      <c r="D26" s="167">
        <v>1240000</v>
      </c>
      <c r="E26" s="167">
        <v>1452000</v>
      </c>
      <c r="F26" s="167">
        <v>1240000</v>
      </c>
      <c r="G26" s="167">
        <v>985922</v>
      </c>
      <c r="H26" s="167">
        <v>1452000</v>
      </c>
      <c r="I26" s="167">
        <v>1024000</v>
      </c>
      <c r="J26" s="167">
        <v>1052000</v>
      </c>
      <c r="K26" s="167">
        <v>1405000</v>
      </c>
      <c r="L26" s="167">
        <v>1200000</v>
      </c>
      <c r="M26" s="75">
        <f t="shared" si="4"/>
        <v>1710759</v>
      </c>
      <c r="N26" s="89">
        <f>'[2]A3-FinPerf V'!I27</f>
        <v>15182096</v>
      </c>
      <c r="O26" s="53">
        <f>'[2]A3-FinPerf V'!J27</f>
        <v>16321355</v>
      </c>
      <c r="P26" s="168">
        <f>'[2]A3-FinPerf V'!K27</f>
        <v>17399646</v>
      </c>
      <c r="Q26" s="76"/>
    </row>
    <row r="27" spans="1:17" ht="5.0999999999999996" customHeight="1" x14ac:dyDescent="0.2">
      <c r="A27" s="431" t="str">
        <f t="shared" si="3"/>
        <v>Vote 6 - Housing</v>
      </c>
      <c r="B27" s="167">
        <v>81000</v>
      </c>
      <c r="C27" s="167">
        <v>69000</v>
      </c>
      <c r="D27" s="167">
        <v>56861</v>
      </c>
      <c r="E27" s="167">
        <v>55661</v>
      </c>
      <c r="F27" s="167">
        <v>55661</v>
      </c>
      <c r="G27" s="167">
        <v>57666</v>
      </c>
      <c r="H27" s="167">
        <v>54958</v>
      </c>
      <c r="I27" s="167">
        <v>66800</v>
      </c>
      <c r="J27" s="167">
        <v>63000</v>
      </c>
      <c r="K27" s="167">
        <v>69000</v>
      </c>
      <c r="L27" s="167">
        <v>66800</v>
      </c>
      <c r="M27" s="75">
        <f t="shared" si="4"/>
        <v>80381</v>
      </c>
      <c r="N27" s="89">
        <f>'[2]A3-FinPerf V'!I28</f>
        <v>776788</v>
      </c>
      <c r="O27" s="53">
        <f>'[2]A3-FinPerf V'!J28</f>
        <v>830087</v>
      </c>
      <c r="P27" s="168">
        <f>'[2]A3-FinPerf V'!K28</f>
        <v>887048</v>
      </c>
      <c r="Q27" s="76"/>
    </row>
    <row r="28" spans="1:17" ht="12.75" customHeight="1" x14ac:dyDescent="0.2">
      <c r="A28" s="431" t="str">
        <f t="shared" si="3"/>
        <v xml:space="preserve">Vote 7 - Planning and development </v>
      </c>
      <c r="B28" s="167">
        <v>1993000</v>
      </c>
      <c r="C28" s="167">
        <v>1850000</v>
      </c>
      <c r="D28" s="167">
        <v>1847000</v>
      </c>
      <c r="E28" s="167">
        <v>1850000</v>
      </c>
      <c r="F28" s="167">
        <v>1985000</v>
      </c>
      <c r="G28" s="167">
        <v>1975000</v>
      </c>
      <c r="H28" s="167">
        <v>1988000</v>
      </c>
      <c r="I28" s="167">
        <v>1998000</v>
      </c>
      <c r="J28" s="167">
        <v>1984000</v>
      </c>
      <c r="K28" s="167">
        <v>1998000</v>
      </c>
      <c r="L28" s="167">
        <v>1810000</v>
      </c>
      <c r="M28" s="75">
        <f t="shared" si="4"/>
        <v>2264563</v>
      </c>
      <c r="N28" s="89">
        <f>'[2]A3-FinPerf V'!I29</f>
        <v>23542563</v>
      </c>
      <c r="O28" s="53">
        <f>'[2]A3-FinPerf V'!J29</f>
        <v>16226548</v>
      </c>
      <c r="P28" s="168">
        <f>'[2]A3-FinPerf V'!K29</f>
        <v>17220675</v>
      </c>
      <c r="Q28" s="76"/>
    </row>
    <row r="29" spans="1:17" ht="20.399999999999999" customHeight="1" x14ac:dyDescent="0.2">
      <c r="A29" s="431" t="str">
        <f t="shared" si="3"/>
        <v>Vote 8 - Road Transport</v>
      </c>
      <c r="B29" s="167">
        <v>3240681</v>
      </c>
      <c r="C29" s="167">
        <v>2462143</v>
      </c>
      <c r="D29" s="167">
        <v>3713806</v>
      </c>
      <c r="E29" s="167">
        <v>2771738</v>
      </c>
      <c r="F29" s="167">
        <v>2771738</v>
      </c>
      <c r="G29" s="167">
        <v>16446802</v>
      </c>
      <c r="H29" s="167">
        <v>6507866</v>
      </c>
      <c r="I29" s="167">
        <v>2800000</v>
      </c>
      <c r="J29" s="167">
        <v>1520000</v>
      </c>
      <c r="K29" s="167">
        <v>6500000</v>
      </c>
      <c r="L29" s="167">
        <v>3512000</v>
      </c>
      <c r="M29" s="75">
        <f>N29-SUM(B29:L29)</f>
        <v>1773615</v>
      </c>
      <c r="N29" s="89">
        <f>'[2]A3-FinPerf V'!I30</f>
        <v>54020389</v>
      </c>
      <c r="O29" s="53">
        <f>'[2]A3-FinPerf V'!J30</f>
        <v>57289076</v>
      </c>
      <c r="P29" s="168">
        <f>'[2]A3-FinPerf V'!K30</f>
        <v>60758546</v>
      </c>
      <c r="Q29" s="76"/>
    </row>
    <row r="30" spans="1:17" ht="12.75" customHeight="1" x14ac:dyDescent="0.2">
      <c r="A30" s="431" t="str">
        <f t="shared" si="3"/>
        <v>Vote 9 - Energy Sources</v>
      </c>
      <c r="B30" s="167">
        <v>2387408</v>
      </c>
      <c r="C30" s="167">
        <v>2367805</v>
      </c>
      <c r="D30" s="167">
        <v>3005143</v>
      </c>
      <c r="E30" s="167">
        <v>2886000</v>
      </c>
      <c r="F30" s="167">
        <v>2886000</v>
      </c>
      <c r="G30" s="167">
        <v>6034510</v>
      </c>
      <c r="H30" s="167">
        <v>2632000</v>
      </c>
      <c r="I30" s="167">
        <v>7520000</v>
      </c>
      <c r="J30" s="167">
        <v>1952000</v>
      </c>
      <c r="K30" s="167">
        <v>4368000</v>
      </c>
      <c r="L30" s="167">
        <v>3421000</v>
      </c>
      <c r="M30" s="75">
        <f>N30-SUM(B30:L30)</f>
        <v>3226779</v>
      </c>
      <c r="N30" s="89">
        <f>'[2]A3-FinPerf V'!I31</f>
        <v>42686645</v>
      </c>
      <c r="O30" s="53">
        <f>'[2]A3-FinPerf V'!J31</f>
        <v>40832094</v>
      </c>
      <c r="P30" s="168">
        <f>'[2]A3-FinPerf V'!K31</f>
        <v>43108554</v>
      </c>
      <c r="Q30" s="76"/>
    </row>
    <row r="31" spans="1:17" ht="12.75" customHeight="1" x14ac:dyDescent="0.2">
      <c r="A31" s="431" t="str">
        <f t="shared" si="3"/>
        <v>Vote 10 - Waste Water Management</v>
      </c>
      <c r="B31" s="167">
        <v>95000</v>
      </c>
      <c r="C31" s="167">
        <v>52145</v>
      </c>
      <c r="D31" s="167">
        <v>48241</v>
      </c>
      <c r="E31" s="167">
        <v>52046</v>
      </c>
      <c r="F31" s="167">
        <v>52046</v>
      </c>
      <c r="G31" s="167">
        <v>48497</v>
      </c>
      <c r="H31" s="167">
        <v>68624</v>
      </c>
      <c r="I31" s="167">
        <v>81000</v>
      </c>
      <c r="J31" s="167">
        <v>95000</v>
      </c>
      <c r="K31" s="167">
        <v>52000</v>
      </c>
      <c r="L31" s="167">
        <v>48000</v>
      </c>
      <c r="M31" s="75">
        <f t="shared" ref="M31:M36" si="5">N31-SUM(B31:L31)</f>
        <v>59006</v>
      </c>
      <c r="N31" s="89">
        <f>'[2]A3-FinPerf V'!I32</f>
        <v>751605</v>
      </c>
      <c r="O31" s="53">
        <f>'[2]A3-FinPerf V'!J32</f>
        <v>802836</v>
      </c>
      <c r="P31" s="168">
        <f>'[2]A3-FinPerf V'!K32</f>
        <v>857569</v>
      </c>
      <c r="Q31" s="76"/>
    </row>
    <row r="32" spans="1:17" ht="12.75" customHeight="1" x14ac:dyDescent="0.2">
      <c r="A32" s="431" t="str">
        <f t="shared" si="3"/>
        <v>Vote 11 - Waste Management</v>
      </c>
      <c r="B32" s="175">
        <v>430000</v>
      </c>
      <c r="C32" s="175">
        <v>429000</v>
      </c>
      <c r="D32" s="175">
        <v>572345</v>
      </c>
      <c r="E32" s="175">
        <v>445757</v>
      </c>
      <c r="F32" s="175">
        <v>445757</v>
      </c>
      <c r="G32" s="175">
        <v>437015</v>
      </c>
      <c r="H32" s="175">
        <v>534536</v>
      </c>
      <c r="I32" s="175">
        <v>415000</v>
      </c>
      <c r="J32" s="175">
        <v>621000</v>
      </c>
      <c r="K32" s="175">
        <v>298000</v>
      </c>
      <c r="L32" s="175">
        <v>436000</v>
      </c>
      <c r="M32" s="75">
        <f t="shared" si="5"/>
        <v>444906</v>
      </c>
      <c r="N32" s="89">
        <f>'[2]A3-FinPerf V'!I33</f>
        <v>5509316</v>
      </c>
      <c r="O32" s="53">
        <f>'[2]A3-FinPerf V'!J33</f>
        <v>5839885</v>
      </c>
      <c r="P32" s="168">
        <f>'[2]A3-FinPerf V'!K33</f>
        <v>6190587</v>
      </c>
      <c r="Q32" s="76"/>
    </row>
    <row r="33" spans="1:17" ht="30.6" x14ac:dyDescent="0.2">
      <c r="A33" s="431" t="str">
        <f t="shared" si="3"/>
        <v>Vote 12 - [NAME OF VOTE 12]</v>
      </c>
      <c r="B33" s="167">
        <v>0</v>
      </c>
      <c r="C33" s="78">
        <v>0</v>
      </c>
      <c r="D33" s="78">
        <v>0</v>
      </c>
      <c r="E33" s="78">
        <v>0</v>
      </c>
      <c r="F33" s="78">
        <v>0</v>
      </c>
      <c r="G33" s="78">
        <v>0</v>
      </c>
      <c r="H33" s="78">
        <v>0</v>
      </c>
      <c r="I33" s="78">
        <v>0</v>
      </c>
      <c r="J33" s="78">
        <v>0</v>
      </c>
      <c r="K33" s="78">
        <v>0</v>
      </c>
      <c r="L33" s="78">
        <v>0</v>
      </c>
      <c r="M33" s="75">
        <f t="shared" si="5"/>
        <v>0</v>
      </c>
      <c r="N33" s="89">
        <f>'[2]A3-FinPerf V'!I34</f>
        <v>0</v>
      </c>
      <c r="O33" s="53">
        <f>'[2]A3-FinPerf V'!J34</f>
        <v>0</v>
      </c>
      <c r="P33" s="168">
        <f>'[2]A3-FinPerf V'!K34</f>
        <v>0</v>
      </c>
      <c r="Q33" s="76"/>
    </row>
    <row r="34" spans="1:17" ht="30.6" x14ac:dyDescent="0.2">
      <c r="A34" s="431" t="str">
        <f t="shared" si="3"/>
        <v>Vote 13 - [NAME OF VOTE 13]</v>
      </c>
      <c r="B34" s="167">
        <v>0</v>
      </c>
      <c r="C34" s="78">
        <v>0</v>
      </c>
      <c r="D34" s="78">
        <v>0</v>
      </c>
      <c r="E34" s="78">
        <v>0</v>
      </c>
      <c r="F34" s="78">
        <v>0</v>
      </c>
      <c r="G34" s="78">
        <v>0</v>
      </c>
      <c r="H34" s="78">
        <v>0</v>
      </c>
      <c r="I34" s="78">
        <v>0</v>
      </c>
      <c r="J34" s="78">
        <v>0</v>
      </c>
      <c r="K34" s="78">
        <v>0</v>
      </c>
      <c r="L34" s="78">
        <v>0</v>
      </c>
      <c r="M34" s="75">
        <f t="shared" si="5"/>
        <v>0</v>
      </c>
      <c r="N34" s="89">
        <f>'[2]A3-FinPerf V'!I35</f>
        <v>0</v>
      </c>
      <c r="O34" s="53">
        <f>'[2]A3-FinPerf V'!J35</f>
        <v>0</v>
      </c>
      <c r="P34" s="168">
        <f>'[2]A3-FinPerf V'!K35</f>
        <v>0</v>
      </c>
      <c r="Q34" s="76"/>
    </row>
    <row r="35" spans="1:17" ht="30.6" x14ac:dyDescent="0.2">
      <c r="A35" s="431" t="str">
        <f t="shared" si="3"/>
        <v>Vote 14 - [NAME OF VOTE 14]</v>
      </c>
      <c r="B35" s="167">
        <v>0</v>
      </c>
      <c r="C35" s="78">
        <v>0</v>
      </c>
      <c r="D35" s="78">
        <v>0</v>
      </c>
      <c r="E35" s="78">
        <v>0</v>
      </c>
      <c r="F35" s="78">
        <v>0</v>
      </c>
      <c r="G35" s="78">
        <v>0</v>
      </c>
      <c r="H35" s="78">
        <v>0</v>
      </c>
      <c r="I35" s="78">
        <v>0</v>
      </c>
      <c r="J35" s="78">
        <v>0</v>
      </c>
      <c r="K35" s="78">
        <v>0</v>
      </c>
      <c r="L35" s="78">
        <v>0</v>
      </c>
      <c r="M35" s="75">
        <f t="shared" si="5"/>
        <v>0</v>
      </c>
      <c r="N35" s="89">
        <f>'[2]A3-FinPerf V'!I36</f>
        <v>0</v>
      </c>
      <c r="O35" s="53">
        <f>'[2]A3-FinPerf V'!J36</f>
        <v>0</v>
      </c>
      <c r="P35" s="168">
        <f>'[2]A3-FinPerf V'!K36</f>
        <v>0</v>
      </c>
      <c r="Q35" s="76"/>
    </row>
    <row r="36" spans="1:17" ht="30.6" x14ac:dyDescent="0.2">
      <c r="A36" s="431" t="str">
        <f t="shared" si="3"/>
        <v>Vote 15 - [NAME OF VOTE 15]</v>
      </c>
      <c r="B36" s="167"/>
      <c r="C36" s="78"/>
      <c r="D36" s="78"/>
      <c r="E36" s="78"/>
      <c r="F36" s="78"/>
      <c r="G36" s="78"/>
      <c r="H36" s="78"/>
      <c r="I36" s="78"/>
      <c r="J36" s="78"/>
      <c r="K36" s="78"/>
      <c r="L36" s="78"/>
      <c r="M36" s="75">
        <f t="shared" si="5"/>
        <v>0</v>
      </c>
      <c r="N36" s="89">
        <f>'[2]A3-FinPerf V'!I37</f>
        <v>0</v>
      </c>
      <c r="O36" s="53">
        <f>'[2]A3-FinPerf V'!J37</f>
        <v>0</v>
      </c>
      <c r="P36" s="168">
        <f>'[2]A3-FinPerf V'!K37</f>
        <v>0</v>
      </c>
      <c r="Q36" s="76"/>
    </row>
    <row r="37" spans="1:17" ht="30.6" x14ac:dyDescent="0.2">
      <c r="A37" s="314" t="str">
        <f>'[2]A3-FinPerf V'!A38</f>
        <v>Total Expenditure by Vote</v>
      </c>
      <c r="B37" s="171">
        <f t="shared" ref="B37:P37" si="6">SUM(B22:B36)</f>
        <v>21294860</v>
      </c>
      <c r="C37" s="65">
        <f t="shared" si="6"/>
        <v>22480708</v>
      </c>
      <c r="D37" s="65">
        <f t="shared" si="6"/>
        <v>23631336</v>
      </c>
      <c r="E37" s="65">
        <f t="shared" si="6"/>
        <v>22600318</v>
      </c>
      <c r="F37" s="65">
        <f t="shared" si="6"/>
        <v>22473537</v>
      </c>
      <c r="G37" s="65">
        <f t="shared" si="6"/>
        <v>50218977</v>
      </c>
      <c r="H37" s="65">
        <f t="shared" si="6"/>
        <v>23714065</v>
      </c>
      <c r="I37" s="65">
        <f t="shared" si="6"/>
        <v>27476800</v>
      </c>
      <c r="J37" s="65">
        <f t="shared" si="6"/>
        <v>18046800</v>
      </c>
      <c r="K37" s="65">
        <f t="shared" si="6"/>
        <v>26361000</v>
      </c>
      <c r="L37" s="65">
        <f t="shared" si="6"/>
        <v>23252800</v>
      </c>
      <c r="M37" s="66">
        <f t="shared" si="6"/>
        <v>27037025</v>
      </c>
      <c r="N37" s="64">
        <f t="shared" si="6"/>
        <v>308588226</v>
      </c>
      <c r="O37" s="65">
        <f t="shared" si="6"/>
        <v>309505312</v>
      </c>
      <c r="P37" s="172">
        <f t="shared" si="6"/>
        <v>328011128</v>
      </c>
      <c r="Q37" s="76"/>
    </row>
    <row r="38" spans="1:17" x14ac:dyDescent="0.2">
      <c r="A38" s="432"/>
      <c r="B38" s="174"/>
      <c r="C38" s="53"/>
      <c r="D38" s="53"/>
      <c r="E38" s="53"/>
      <c r="F38" s="53"/>
      <c r="G38" s="53"/>
      <c r="H38" s="53"/>
      <c r="I38" s="53"/>
      <c r="J38" s="53"/>
      <c r="K38" s="53"/>
      <c r="L38" s="53"/>
      <c r="M38" s="75"/>
      <c r="N38" s="89"/>
      <c r="O38" s="53"/>
      <c r="P38" s="168"/>
      <c r="Q38" s="76"/>
    </row>
    <row r="39" spans="1:17" ht="40.799999999999997" x14ac:dyDescent="0.2">
      <c r="A39" s="434" t="str">
        <f>'[2]A4-FinPerf RE'!A37&amp;" before assoc."</f>
        <v>Surplus/(Deficit) before assoc.</v>
      </c>
      <c r="B39" s="171">
        <f t="shared" ref="B39:P39" si="7">B20-B37</f>
        <v>119605902</v>
      </c>
      <c r="C39" s="65">
        <f t="shared" si="7"/>
        <v>-15303728</v>
      </c>
      <c r="D39" s="65">
        <f t="shared" si="7"/>
        <v>-19570516</v>
      </c>
      <c r="E39" s="65">
        <f t="shared" si="7"/>
        <v>-17378367</v>
      </c>
      <c r="F39" s="65">
        <f t="shared" si="7"/>
        <v>-17131272</v>
      </c>
      <c r="G39" s="65">
        <f t="shared" si="7"/>
        <v>46671445</v>
      </c>
      <c r="H39" s="65">
        <f t="shared" si="7"/>
        <v>-13761665</v>
      </c>
      <c r="I39" s="65">
        <f t="shared" si="7"/>
        <v>18452200</v>
      </c>
      <c r="J39" s="65">
        <f t="shared" si="7"/>
        <v>80969200</v>
      </c>
      <c r="K39" s="65">
        <f t="shared" si="7"/>
        <v>-8139000</v>
      </c>
      <c r="L39" s="65">
        <f t="shared" si="7"/>
        <v>-5018200</v>
      </c>
      <c r="M39" s="66">
        <f t="shared" si="7"/>
        <v>-17841782</v>
      </c>
      <c r="N39" s="64">
        <f t="shared" si="7"/>
        <v>151554217</v>
      </c>
      <c r="O39" s="65">
        <f t="shared" si="7"/>
        <v>185822294</v>
      </c>
      <c r="P39" s="172">
        <f t="shared" si="7"/>
        <v>200551218</v>
      </c>
    </row>
    <row r="40" spans="1:17" x14ac:dyDescent="0.2">
      <c r="A40" s="432"/>
      <c r="B40" s="174"/>
      <c r="C40" s="53"/>
      <c r="D40" s="53"/>
      <c r="E40" s="53"/>
      <c r="F40" s="53"/>
      <c r="G40" s="53"/>
      <c r="H40" s="53"/>
      <c r="I40" s="53"/>
      <c r="J40" s="53"/>
      <c r="K40" s="53"/>
      <c r="L40" s="53"/>
      <c r="M40" s="75"/>
      <c r="N40" s="89"/>
      <c r="O40" s="53"/>
      <c r="P40" s="168"/>
    </row>
    <row r="41" spans="1:17" x14ac:dyDescent="0.2">
      <c r="A41" s="431" t="str">
        <f>[2]SA25!A42</f>
        <v>Taxation</v>
      </c>
      <c r="B41" s="167">
        <v>0</v>
      </c>
      <c r="C41" s="78">
        <v>0</v>
      </c>
      <c r="D41" s="78">
        <v>0</v>
      </c>
      <c r="E41" s="78">
        <v>0</v>
      </c>
      <c r="F41" s="78">
        <v>0</v>
      </c>
      <c r="G41" s="78">
        <v>0</v>
      </c>
      <c r="H41" s="78">
        <v>0</v>
      </c>
      <c r="I41" s="78">
        <v>0</v>
      </c>
      <c r="J41" s="78">
        <v>0</v>
      </c>
      <c r="K41" s="78">
        <v>0</v>
      </c>
      <c r="L41" s="78">
        <v>0</v>
      </c>
      <c r="M41" s="75">
        <f>N41-SUM(B41:L41)</f>
        <v>0</v>
      </c>
      <c r="N41" s="89">
        <f>[2]SA25!O42</f>
        <v>0</v>
      </c>
      <c r="O41" s="53">
        <f>[2]SA25!P42</f>
        <v>0</v>
      </c>
      <c r="P41" s="168">
        <f>[2]SA25!Q42</f>
        <v>0</v>
      </c>
    </row>
    <row r="42" spans="1:17" ht="20.399999999999999" x14ac:dyDescent="0.2">
      <c r="A42" s="431" t="str">
        <f>[2]SA25!A43</f>
        <v>Attributable to minorities</v>
      </c>
      <c r="B42" s="167">
        <v>0</v>
      </c>
      <c r="C42" s="78">
        <v>0</v>
      </c>
      <c r="D42" s="78">
        <v>0</v>
      </c>
      <c r="E42" s="78">
        <v>0</v>
      </c>
      <c r="F42" s="78">
        <v>0</v>
      </c>
      <c r="G42" s="78">
        <v>0</v>
      </c>
      <c r="H42" s="78">
        <v>0</v>
      </c>
      <c r="I42" s="78">
        <v>0</v>
      </c>
      <c r="J42" s="78">
        <v>0</v>
      </c>
      <c r="K42" s="78">
        <v>0</v>
      </c>
      <c r="L42" s="78">
        <v>0</v>
      </c>
      <c r="M42" s="75">
        <f>N42-SUM(B42:L42)</f>
        <v>0</v>
      </c>
      <c r="N42" s="89">
        <f>[2]SA25!O43</f>
        <v>0</v>
      </c>
      <c r="O42" s="53">
        <f>[2]SA25!P43</f>
        <v>0</v>
      </c>
      <c r="P42" s="168">
        <f>[2]SA25!Q43</f>
        <v>0</v>
      </c>
    </row>
    <row r="43" spans="1:17" ht="40.799999999999997" x14ac:dyDescent="0.2">
      <c r="A43" s="436" t="str">
        <f>'[2]A4-FinPerf RE'!A46</f>
        <v>Share of surplus/ (deficit) of associate</v>
      </c>
      <c r="B43" s="167">
        <v>0</v>
      </c>
      <c r="C43" s="78">
        <v>0</v>
      </c>
      <c r="D43" s="78">
        <v>0</v>
      </c>
      <c r="E43" s="78">
        <v>0</v>
      </c>
      <c r="F43" s="78">
        <v>0</v>
      </c>
      <c r="G43" s="78">
        <v>0</v>
      </c>
      <c r="H43" s="78">
        <v>0</v>
      </c>
      <c r="I43" s="78">
        <v>0</v>
      </c>
      <c r="J43" s="78">
        <v>0</v>
      </c>
      <c r="K43" s="78">
        <v>0</v>
      </c>
      <c r="L43" s="78">
        <v>0</v>
      </c>
      <c r="M43" s="75">
        <f>N43-SUM(B43:L43)</f>
        <v>0</v>
      </c>
      <c r="N43" s="89">
        <f>'[2]A4-FinPerf RE'!J46</f>
        <v>0</v>
      </c>
      <c r="O43" s="53">
        <f>'[2]A4-FinPerf RE'!K46</f>
        <v>0</v>
      </c>
      <c r="P43" s="168">
        <f>'[2]A4-FinPerf RE'!L46</f>
        <v>0</v>
      </c>
    </row>
    <row r="44" spans="1:17" ht="20.399999999999999" x14ac:dyDescent="0.2">
      <c r="A44" s="176" t="str">
        <f>'[2]A4-FinPerf RE'!A37</f>
        <v>Surplus/(Deficit)</v>
      </c>
      <c r="B44" s="177">
        <f t="shared" ref="B44:P44" si="8">B39+B43</f>
        <v>119605902</v>
      </c>
      <c r="C44" s="178">
        <f t="shared" si="8"/>
        <v>-15303728</v>
      </c>
      <c r="D44" s="178">
        <f t="shared" si="8"/>
        <v>-19570516</v>
      </c>
      <c r="E44" s="178">
        <f t="shared" si="8"/>
        <v>-17378367</v>
      </c>
      <c r="F44" s="178">
        <f t="shared" si="8"/>
        <v>-17131272</v>
      </c>
      <c r="G44" s="178">
        <f t="shared" si="8"/>
        <v>46671445</v>
      </c>
      <c r="H44" s="178">
        <f t="shared" si="8"/>
        <v>-13761665</v>
      </c>
      <c r="I44" s="178">
        <f t="shared" si="8"/>
        <v>18452200</v>
      </c>
      <c r="J44" s="178">
        <f t="shared" si="8"/>
        <v>80969200</v>
      </c>
      <c r="K44" s="178">
        <f t="shared" si="8"/>
        <v>-8139000</v>
      </c>
      <c r="L44" s="178">
        <f t="shared" si="8"/>
        <v>-5018200</v>
      </c>
      <c r="M44" s="179">
        <f t="shared" si="8"/>
        <v>-17841782</v>
      </c>
      <c r="N44" s="180">
        <f t="shared" si="8"/>
        <v>151554217</v>
      </c>
      <c r="O44" s="178">
        <f t="shared" si="8"/>
        <v>185822294</v>
      </c>
      <c r="P44" s="181">
        <f t="shared" si="8"/>
        <v>200551218</v>
      </c>
    </row>
    <row r="45" spans="1:17" s="183" customFormat="1" x14ac:dyDescent="0.2">
      <c r="A45" s="182">
        <f>head27a</f>
        <v>2</v>
      </c>
      <c r="B45" s="71"/>
      <c r="C45" s="71"/>
      <c r="D45" s="71"/>
      <c r="E45" s="71"/>
      <c r="F45" s="71"/>
      <c r="G45" s="71"/>
      <c r="H45" s="71"/>
      <c r="I45" s="71"/>
      <c r="J45" s="71"/>
      <c r="K45" s="71"/>
      <c r="L45" s="71"/>
      <c r="M45" s="71"/>
      <c r="N45" s="71"/>
      <c r="O45" s="71"/>
      <c r="P45" s="71"/>
    </row>
    <row r="46" spans="1:17" s="183" customFormat="1" ht="13.2" customHeight="1" x14ac:dyDescent="0.2">
      <c r="A46" s="613" t="s">
        <v>516</v>
      </c>
      <c r="B46" s="613"/>
      <c r="C46" s="613"/>
      <c r="D46" s="613"/>
      <c r="E46" s="613"/>
      <c r="F46" s="613"/>
      <c r="G46" s="613"/>
      <c r="H46" s="613"/>
      <c r="I46" s="613"/>
      <c r="J46" s="613"/>
      <c r="K46" s="613"/>
      <c r="L46" s="613"/>
      <c r="M46" s="613"/>
      <c r="N46" s="613"/>
      <c r="O46" s="613"/>
      <c r="P46" s="613"/>
    </row>
    <row r="47" spans="1:17" x14ac:dyDescent="0.2">
      <c r="A47" s="437" t="s">
        <v>450</v>
      </c>
      <c r="N47" s="184">
        <f>N44-'[2]A4-FinPerf RE'!J47</f>
        <v>-4</v>
      </c>
      <c r="O47" s="184">
        <f>O44-'[2]A4-FinPerf RE'!K47</f>
        <v>2</v>
      </c>
      <c r="P47" s="184">
        <f>P44-'[2]A4-FinPerf RE'!L47</f>
        <v>2</v>
      </c>
    </row>
  </sheetData>
  <mergeCells count="4">
    <mergeCell ref="B2:M2"/>
    <mergeCell ref="N2:P2"/>
    <mergeCell ref="A1:P1"/>
    <mergeCell ref="A46:P46"/>
  </mergeCells>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47"/>
  <sheetViews>
    <sheetView view="pageBreakPreview" zoomScale="60" zoomScaleNormal="100" workbookViewId="0">
      <selection activeCell="P32" sqref="P32"/>
    </sheetView>
  </sheetViews>
  <sheetFormatPr defaultColWidth="9.109375" defaultRowHeight="10.199999999999999" x14ac:dyDescent="0.2"/>
  <cols>
    <col min="1" max="1" width="9.33203125" style="46" customWidth="1"/>
    <col min="2" max="8" width="8.33203125" style="46" customWidth="1"/>
    <col min="9" max="9" width="7.6640625" style="46" customWidth="1"/>
    <col min="10" max="10" width="8.33203125" style="46" customWidth="1"/>
    <col min="11" max="11" width="7.88671875" style="46" customWidth="1"/>
    <col min="12" max="12" width="7.33203125" style="46" customWidth="1"/>
    <col min="13" max="13" width="6.88671875" style="46" customWidth="1"/>
    <col min="14" max="14" width="9.33203125" style="46" customWidth="1"/>
    <col min="15" max="15" width="9.88671875" style="46" customWidth="1"/>
    <col min="16" max="16" width="9.33203125" style="46" customWidth="1"/>
    <col min="17" max="16384" width="9.109375" style="46"/>
  </cols>
  <sheetData>
    <row r="1" spans="1:16" ht="13.8" x14ac:dyDescent="0.3">
      <c r="A1" s="154" t="e">
        <f>muni&amp;" - "&amp; TableA28</f>
        <v>#REF!</v>
      </c>
      <c r="B1" s="154"/>
      <c r="C1" s="154"/>
      <c r="D1" s="154"/>
      <c r="E1" s="154"/>
      <c r="F1" s="154"/>
      <c r="G1" s="154"/>
      <c r="H1" s="154"/>
      <c r="I1" s="154"/>
      <c r="J1" s="154"/>
      <c r="K1" s="154"/>
      <c r="L1" s="154"/>
      <c r="M1" s="154"/>
      <c r="N1" s="154"/>
      <c r="O1" s="154"/>
      <c r="P1" s="154"/>
    </row>
    <row r="2" spans="1:16" ht="20.399999999999999" customHeight="1" x14ac:dyDescent="0.2">
      <c r="A2" s="155">
        <f>desc</f>
        <v>0</v>
      </c>
      <c r="B2" s="602">
        <f>Head9</f>
        <v>0</v>
      </c>
      <c r="C2" s="603"/>
      <c r="D2" s="603"/>
      <c r="E2" s="603"/>
      <c r="F2" s="603"/>
      <c r="G2" s="603"/>
      <c r="H2" s="603"/>
      <c r="I2" s="603"/>
      <c r="J2" s="603"/>
      <c r="K2" s="603"/>
      <c r="L2" s="603"/>
      <c r="M2" s="603"/>
      <c r="N2" s="604" t="s">
        <v>436</v>
      </c>
      <c r="O2" s="605"/>
      <c r="P2" s="606"/>
    </row>
    <row r="3" spans="1:16" x14ac:dyDescent="0.2">
      <c r="A3" s="156" t="s">
        <v>515</v>
      </c>
      <c r="B3" s="157" t="s">
        <v>437</v>
      </c>
      <c r="C3" s="158" t="s">
        <v>438</v>
      </c>
      <c r="D3" s="158" t="s">
        <v>439</v>
      </c>
      <c r="E3" s="158" t="s">
        <v>440</v>
      </c>
      <c r="F3" s="158" t="s">
        <v>571</v>
      </c>
      <c r="G3" s="158" t="s">
        <v>572</v>
      </c>
      <c r="H3" s="158" t="s">
        <v>443</v>
      </c>
      <c r="I3" s="158" t="s">
        <v>573</v>
      </c>
      <c r="J3" s="158" t="s">
        <v>445</v>
      </c>
      <c r="K3" s="158" t="s">
        <v>446</v>
      </c>
      <c r="L3" s="158" t="s">
        <v>447</v>
      </c>
      <c r="M3" s="274" t="s">
        <v>448</v>
      </c>
      <c r="N3" s="157">
        <f>Head9</f>
        <v>0</v>
      </c>
      <c r="O3" s="160">
        <f>Head10</f>
        <v>0</v>
      </c>
      <c r="P3" s="159">
        <f>Head11</f>
        <v>0</v>
      </c>
    </row>
    <row r="4" spans="1:16" x14ac:dyDescent="0.2">
      <c r="A4" s="110" t="s">
        <v>574</v>
      </c>
      <c r="B4" s="174"/>
      <c r="C4" s="53"/>
      <c r="D4" s="53"/>
      <c r="E4" s="53"/>
      <c r="F4" s="53"/>
      <c r="G4" s="53"/>
      <c r="H4" s="53"/>
      <c r="I4" s="53"/>
      <c r="J4" s="53"/>
      <c r="K4" s="53"/>
      <c r="L4" s="53"/>
      <c r="M4" s="287"/>
      <c r="N4" s="174"/>
      <c r="O4" s="53"/>
      <c r="P4" s="168"/>
    </row>
    <row r="5" spans="1:16" ht="12.75" customHeight="1" x14ac:dyDescent="0.2">
      <c r="A5" s="416" t="str">
        <f>'[2]A5-Capex'!A6</f>
        <v>Vote 1 - Executive &amp; Council</v>
      </c>
      <c r="B5" s="167">
        <v>0</v>
      </c>
      <c r="C5" s="78">
        <v>0</v>
      </c>
      <c r="D5" s="78">
        <v>0</v>
      </c>
      <c r="E5" s="78">
        <v>0</v>
      </c>
      <c r="F5" s="78">
        <v>0</v>
      </c>
      <c r="G5" s="78">
        <v>0</v>
      </c>
      <c r="H5" s="78">
        <v>0</v>
      </c>
      <c r="I5" s="78">
        <v>0</v>
      </c>
      <c r="J5" s="78">
        <v>0</v>
      </c>
      <c r="K5" s="78">
        <v>0</v>
      </c>
      <c r="L5" s="78">
        <v>0</v>
      </c>
      <c r="M5" s="287">
        <f>N5-SUM(B5:L5)</f>
        <v>0</v>
      </c>
      <c r="N5" s="174">
        <f>'[2]A5-Capex'!J6</f>
        <v>0</v>
      </c>
      <c r="O5" s="53">
        <f>'[2]A5-Capex'!K6</f>
        <v>0</v>
      </c>
      <c r="P5" s="168">
        <f>'[2]A5-Capex'!L6</f>
        <v>0</v>
      </c>
    </row>
    <row r="6" spans="1:16" ht="12.75" customHeight="1" x14ac:dyDescent="0.2">
      <c r="A6" s="416" t="str">
        <f>'[2]A5-Capex'!A7</f>
        <v>Vote 2 - Finance and Administration</v>
      </c>
      <c r="B6" s="167">
        <v>0</v>
      </c>
      <c r="C6" s="78">
        <v>0</v>
      </c>
      <c r="D6" s="78">
        <v>0</v>
      </c>
      <c r="E6" s="78">
        <v>0</v>
      </c>
      <c r="F6" s="78">
        <v>0</v>
      </c>
      <c r="G6" s="78">
        <v>0</v>
      </c>
      <c r="H6" s="78">
        <v>0</v>
      </c>
      <c r="I6" s="78">
        <v>0</v>
      </c>
      <c r="J6" s="78">
        <v>0</v>
      </c>
      <c r="K6" s="78">
        <v>0</v>
      </c>
      <c r="L6" s="78">
        <v>0</v>
      </c>
      <c r="M6" s="287">
        <f t="shared" ref="M6:M11" si="0">N6-SUM(B6:L6)</f>
        <v>0</v>
      </c>
      <c r="N6" s="174">
        <f>'[2]A5-Capex'!J7</f>
        <v>0</v>
      </c>
      <c r="O6" s="53">
        <f>'[2]A5-Capex'!K7</f>
        <v>0</v>
      </c>
      <c r="P6" s="168">
        <f>'[2]A5-Capex'!L7</f>
        <v>0</v>
      </c>
    </row>
    <row r="7" spans="1:16" ht="12.75" customHeight="1" x14ac:dyDescent="0.2">
      <c r="A7" s="416" t="str">
        <f>'[2]A5-Capex'!A8</f>
        <v>Vote 3 - Internal Audit</v>
      </c>
      <c r="B7" s="167">
        <v>0</v>
      </c>
      <c r="C7" s="78">
        <v>0</v>
      </c>
      <c r="D7" s="78">
        <v>0</v>
      </c>
      <c r="E7" s="78">
        <v>0</v>
      </c>
      <c r="F7" s="78">
        <v>0</v>
      </c>
      <c r="G7" s="78">
        <v>0</v>
      </c>
      <c r="H7" s="78">
        <v>0</v>
      </c>
      <c r="I7" s="78">
        <v>0</v>
      </c>
      <c r="J7" s="78">
        <v>0</v>
      </c>
      <c r="K7" s="78">
        <v>0</v>
      </c>
      <c r="L7" s="78">
        <v>0</v>
      </c>
      <c r="M7" s="287">
        <f t="shared" si="0"/>
        <v>0</v>
      </c>
      <c r="N7" s="174">
        <f>'[2]A5-Capex'!J8</f>
        <v>0</v>
      </c>
      <c r="O7" s="53">
        <f>'[2]A5-Capex'!K8</f>
        <v>0</v>
      </c>
      <c r="P7" s="168">
        <f>'[2]A5-Capex'!L8</f>
        <v>0</v>
      </c>
    </row>
    <row r="8" spans="1:16" ht="12.75" customHeight="1" x14ac:dyDescent="0.2">
      <c r="A8" s="416" t="str">
        <f>'[2]A5-Capex'!A9</f>
        <v>Vote 4 - Community and Public Safety</v>
      </c>
      <c r="B8" s="167">
        <v>0</v>
      </c>
      <c r="C8" s="78">
        <v>970000</v>
      </c>
      <c r="D8" s="78">
        <v>0</v>
      </c>
      <c r="E8" s="78">
        <v>1010000</v>
      </c>
      <c r="F8" s="78">
        <v>0</v>
      </c>
      <c r="G8" s="78">
        <v>1120000</v>
      </c>
      <c r="H8" s="78">
        <v>0</v>
      </c>
      <c r="I8" s="78">
        <v>0</v>
      </c>
      <c r="J8" s="78">
        <v>0</v>
      </c>
      <c r="K8" s="78">
        <v>0</v>
      </c>
      <c r="L8" s="78">
        <v>0</v>
      </c>
      <c r="M8" s="287">
        <f t="shared" si="0"/>
        <v>0</v>
      </c>
      <c r="N8" s="174">
        <f>'[2]A5-Capex'!J9</f>
        <v>3100000</v>
      </c>
      <c r="O8" s="53">
        <f>'[2]A5-Capex'!K9</f>
        <v>3900000</v>
      </c>
      <c r="P8" s="168">
        <f>'[2]A5-Capex'!L9</f>
        <v>0</v>
      </c>
    </row>
    <row r="9" spans="1:16" ht="12.75" customHeight="1" x14ac:dyDescent="0.2">
      <c r="A9" s="416" t="str">
        <f>'[2]A5-Capex'!A10</f>
        <v>Vote 5 - Sports and Recreation</v>
      </c>
      <c r="B9" s="167">
        <v>8640000</v>
      </c>
      <c r="C9" s="78">
        <v>6500000</v>
      </c>
      <c r="D9" s="78">
        <v>5100000</v>
      </c>
      <c r="E9" s="78">
        <v>2300000</v>
      </c>
      <c r="F9" s="78">
        <v>4520000</v>
      </c>
      <c r="G9" s="78">
        <v>3600000</v>
      </c>
      <c r="H9" s="78">
        <v>4150000</v>
      </c>
      <c r="I9" s="78">
        <v>1950000</v>
      </c>
      <c r="J9" s="78">
        <v>3540000</v>
      </c>
      <c r="K9" s="78">
        <v>2035415</v>
      </c>
      <c r="L9" s="78">
        <v>1300000</v>
      </c>
      <c r="M9" s="287">
        <f t="shared" si="0"/>
        <v>0</v>
      </c>
      <c r="N9" s="174">
        <f>'[2]A5-Capex'!J10</f>
        <v>43635415</v>
      </c>
      <c r="O9" s="53">
        <f>'[2]A5-Capex'!K10</f>
        <v>38582889</v>
      </c>
      <c r="P9" s="168">
        <f>'[2]A5-Capex'!L10</f>
        <v>21681111</v>
      </c>
    </row>
    <row r="10" spans="1:16" ht="12.75" customHeight="1" x14ac:dyDescent="0.2">
      <c r="A10" s="416" t="str">
        <f>'[2]A5-Capex'!A11</f>
        <v>Vote 6 - Housing</v>
      </c>
      <c r="B10" s="167">
        <v>0</v>
      </c>
      <c r="C10" s="78">
        <v>0</v>
      </c>
      <c r="D10" s="78">
        <v>0</v>
      </c>
      <c r="E10" s="78">
        <v>0</v>
      </c>
      <c r="F10" s="78">
        <v>0</v>
      </c>
      <c r="G10" s="78">
        <v>0</v>
      </c>
      <c r="H10" s="78">
        <v>0</v>
      </c>
      <c r="I10" s="78">
        <v>0</v>
      </c>
      <c r="J10" s="78">
        <v>0</v>
      </c>
      <c r="K10" s="78">
        <v>0</v>
      </c>
      <c r="L10" s="78">
        <v>0</v>
      </c>
      <c r="M10" s="287">
        <f t="shared" si="0"/>
        <v>0</v>
      </c>
      <c r="N10" s="174">
        <f>'[2]A5-Capex'!J11</f>
        <v>0</v>
      </c>
      <c r="O10" s="53">
        <f>'[2]A5-Capex'!K11</f>
        <v>0</v>
      </c>
      <c r="P10" s="168">
        <f>'[2]A5-Capex'!L11</f>
        <v>0</v>
      </c>
    </row>
    <row r="11" spans="1:16" ht="12.75" customHeight="1" x14ac:dyDescent="0.2">
      <c r="A11" s="416" t="str">
        <f>'[2]A5-Capex'!A12</f>
        <v xml:space="preserve">Vote 7 - Planning and development </v>
      </c>
      <c r="B11" s="167">
        <v>0</v>
      </c>
      <c r="C11" s="78">
        <v>0</v>
      </c>
      <c r="D11" s="78">
        <v>0</v>
      </c>
      <c r="E11" s="78">
        <v>0</v>
      </c>
      <c r="F11" s="78">
        <v>0</v>
      </c>
      <c r="G11" s="78">
        <v>0</v>
      </c>
      <c r="H11" s="78">
        <v>0</v>
      </c>
      <c r="I11" s="78">
        <v>0</v>
      </c>
      <c r="J11" s="78">
        <v>0</v>
      </c>
      <c r="K11" s="78">
        <v>0</v>
      </c>
      <c r="L11" s="78">
        <v>0</v>
      </c>
      <c r="M11" s="287">
        <f t="shared" si="0"/>
        <v>0</v>
      </c>
      <c r="N11" s="174">
        <f>'[2]A5-Capex'!J12</f>
        <v>0</v>
      </c>
      <c r="O11" s="53">
        <f>'[2]A5-Capex'!K12</f>
        <v>0</v>
      </c>
      <c r="P11" s="168">
        <f>'[2]A5-Capex'!L12</f>
        <v>0</v>
      </c>
    </row>
    <row r="12" spans="1:16" ht="12.75" customHeight="1" x14ac:dyDescent="0.2">
      <c r="A12" s="416" t="str">
        <f>'[2]A5-Capex'!A13</f>
        <v>Vote 8 - Road Transport</v>
      </c>
      <c r="B12" s="167">
        <v>9870000</v>
      </c>
      <c r="C12" s="78">
        <v>8500000</v>
      </c>
      <c r="D12" s="78">
        <v>8900000</v>
      </c>
      <c r="E12" s="78">
        <v>3740000</v>
      </c>
      <c r="F12" s="78">
        <v>1850000</v>
      </c>
      <c r="G12" s="78">
        <v>6200000</v>
      </c>
      <c r="H12" s="78">
        <v>4500000</v>
      </c>
      <c r="I12" s="78">
        <v>3500000</v>
      </c>
      <c r="J12" s="78">
        <v>4471000</v>
      </c>
      <c r="K12" s="78">
        <v>5209758</v>
      </c>
      <c r="L12" s="78">
        <v>0</v>
      </c>
      <c r="M12" s="287">
        <f>N12-SUM(B12:L12)</f>
        <v>0</v>
      </c>
      <c r="N12" s="174">
        <f>'[2]A5-Capex'!J13</f>
        <v>56740758</v>
      </c>
      <c r="O12" s="53">
        <f>'[2]A5-Capex'!K13</f>
        <v>126765055</v>
      </c>
      <c r="P12" s="168">
        <f>'[2]A5-Capex'!L13</f>
        <v>141871156</v>
      </c>
    </row>
    <row r="13" spans="1:16" ht="13.95" customHeight="1" x14ac:dyDescent="0.2">
      <c r="A13" s="416" t="str">
        <f>'[2]A5-Capex'!A14</f>
        <v>Vote 9 - Energy Sources</v>
      </c>
      <c r="B13" s="167">
        <v>0</v>
      </c>
      <c r="C13" s="78">
        <v>0</v>
      </c>
      <c r="D13" s="78">
        <v>0</v>
      </c>
      <c r="E13" s="78">
        <v>0</v>
      </c>
      <c r="F13" s="78">
        <v>0</v>
      </c>
      <c r="G13" s="78">
        <v>0</v>
      </c>
      <c r="H13" s="78">
        <v>0</v>
      </c>
      <c r="I13" s="78">
        <v>0</v>
      </c>
      <c r="J13" s="78">
        <v>0</v>
      </c>
      <c r="K13" s="78">
        <v>0</v>
      </c>
      <c r="L13" s="78">
        <v>0</v>
      </c>
      <c r="M13" s="287">
        <f>N13-SUM(B13:L13)</f>
        <v>0</v>
      </c>
      <c r="N13" s="174">
        <f>'[2]A5-Capex'!J14</f>
        <v>0</v>
      </c>
      <c r="O13" s="53">
        <f>'[2]A5-Capex'!K14</f>
        <v>0</v>
      </c>
      <c r="P13" s="168">
        <f>'[2]A5-Capex'!L14</f>
        <v>0</v>
      </c>
    </row>
    <row r="14" spans="1:16" ht="12.75" customHeight="1" x14ac:dyDescent="0.2">
      <c r="A14" s="416" t="str">
        <f>'[2]A5-Capex'!A15</f>
        <v>Vote 10 - Waste Water Management</v>
      </c>
      <c r="B14" s="167">
        <v>0</v>
      </c>
      <c r="C14" s="78">
        <v>0</v>
      </c>
      <c r="D14" s="78">
        <v>0</v>
      </c>
      <c r="E14" s="78">
        <v>0</v>
      </c>
      <c r="F14" s="78">
        <v>0</v>
      </c>
      <c r="G14" s="78">
        <v>0</v>
      </c>
      <c r="H14" s="78">
        <v>0</v>
      </c>
      <c r="I14" s="78">
        <v>0</v>
      </c>
      <c r="J14" s="78">
        <v>0</v>
      </c>
      <c r="K14" s="78">
        <v>0</v>
      </c>
      <c r="L14" s="78">
        <v>0</v>
      </c>
      <c r="M14" s="287">
        <f t="shared" ref="M14:M19" si="1">N14-SUM(B14:L14)</f>
        <v>0</v>
      </c>
      <c r="N14" s="174">
        <f>'[2]A5-Capex'!J15</f>
        <v>0</v>
      </c>
      <c r="O14" s="53">
        <f>'[2]A5-Capex'!K15</f>
        <v>0</v>
      </c>
      <c r="P14" s="168">
        <f>'[2]A5-Capex'!L15</f>
        <v>0</v>
      </c>
    </row>
    <row r="15" spans="1:16" ht="12.75" customHeight="1" x14ac:dyDescent="0.2">
      <c r="A15" s="416" t="str">
        <f>'[2]A5-Capex'!A16</f>
        <v>Vote 11 - Waste Management</v>
      </c>
      <c r="B15" s="167">
        <v>0</v>
      </c>
      <c r="C15" s="78">
        <v>0</v>
      </c>
      <c r="D15" s="78">
        <v>0</v>
      </c>
      <c r="E15" s="78">
        <v>0</v>
      </c>
      <c r="F15" s="78">
        <v>0</v>
      </c>
      <c r="G15" s="78">
        <v>0</v>
      </c>
      <c r="H15" s="78">
        <v>0</v>
      </c>
      <c r="I15" s="78">
        <v>0</v>
      </c>
      <c r="J15" s="78">
        <v>0</v>
      </c>
      <c r="K15" s="78">
        <v>0</v>
      </c>
      <c r="L15" s="78">
        <v>0</v>
      </c>
      <c r="M15" s="287">
        <f t="shared" si="1"/>
        <v>0</v>
      </c>
      <c r="N15" s="174">
        <f>'[2]A5-Capex'!J16</f>
        <v>0</v>
      </c>
      <c r="O15" s="53">
        <f>'[2]A5-Capex'!K16</f>
        <v>0</v>
      </c>
      <c r="P15" s="168">
        <f>'[2]A5-Capex'!L16</f>
        <v>0</v>
      </c>
    </row>
    <row r="16" spans="1:16" ht="12.75" customHeight="1" x14ac:dyDescent="0.2">
      <c r="A16" s="416" t="str">
        <f>'[2]A5-Capex'!A17</f>
        <v>Vote 12 - [NAME OF VOTE 12]</v>
      </c>
      <c r="B16" s="167">
        <v>0</v>
      </c>
      <c r="C16" s="78">
        <v>0</v>
      </c>
      <c r="D16" s="78">
        <v>0</v>
      </c>
      <c r="E16" s="78">
        <v>0</v>
      </c>
      <c r="F16" s="78">
        <v>0</v>
      </c>
      <c r="G16" s="78">
        <v>0</v>
      </c>
      <c r="H16" s="78">
        <v>0</v>
      </c>
      <c r="I16" s="78">
        <v>0</v>
      </c>
      <c r="J16" s="78">
        <v>0</v>
      </c>
      <c r="K16" s="78">
        <v>0</v>
      </c>
      <c r="L16" s="78">
        <v>0</v>
      </c>
      <c r="M16" s="287">
        <f t="shared" si="1"/>
        <v>0</v>
      </c>
      <c r="N16" s="174">
        <f>'[2]A5-Capex'!J17</f>
        <v>0</v>
      </c>
      <c r="O16" s="53">
        <f>'[2]A5-Capex'!K17</f>
        <v>0</v>
      </c>
      <c r="P16" s="168">
        <f>'[2]A5-Capex'!L17</f>
        <v>0</v>
      </c>
    </row>
    <row r="17" spans="1:16" ht="12.75" customHeight="1" x14ac:dyDescent="0.2">
      <c r="A17" s="416" t="str">
        <f>'[2]A5-Capex'!A18</f>
        <v>Vote 13 - [NAME OF VOTE 13]</v>
      </c>
      <c r="B17" s="167">
        <v>0</v>
      </c>
      <c r="C17" s="78">
        <v>0</v>
      </c>
      <c r="D17" s="78">
        <v>0</v>
      </c>
      <c r="E17" s="78">
        <v>0</v>
      </c>
      <c r="F17" s="78">
        <v>0</v>
      </c>
      <c r="G17" s="78">
        <v>0</v>
      </c>
      <c r="H17" s="78">
        <v>0</v>
      </c>
      <c r="I17" s="78">
        <v>0</v>
      </c>
      <c r="J17" s="78">
        <v>0</v>
      </c>
      <c r="K17" s="78">
        <v>0</v>
      </c>
      <c r="L17" s="78">
        <v>0</v>
      </c>
      <c r="M17" s="287">
        <f t="shared" si="1"/>
        <v>0</v>
      </c>
      <c r="N17" s="174">
        <f>'[2]A5-Capex'!J18</f>
        <v>0</v>
      </c>
      <c r="O17" s="53">
        <f>'[2]A5-Capex'!K18</f>
        <v>0</v>
      </c>
      <c r="P17" s="168">
        <f>'[2]A5-Capex'!L18</f>
        <v>0</v>
      </c>
    </row>
    <row r="18" spans="1:16" ht="12.75" customHeight="1" x14ac:dyDescent="0.2">
      <c r="A18" s="416" t="str">
        <f>'[2]A5-Capex'!A19</f>
        <v>Vote 14 - [NAME OF VOTE 14]</v>
      </c>
      <c r="B18" s="167">
        <v>0</v>
      </c>
      <c r="C18" s="78">
        <v>0</v>
      </c>
      <c r="D18" s="78">
        <v>0</v>
      </c>
      <c r="E18" s="78">
        <v>0</v>
      </c>
      <c r="F18" s="78">
        <v>0</v>
      </c>
      <c r="G18" s="78">
        <v>0</v>
      </c>
      <c r="H18" s="78">
        <v>0</v>
      </c>
      <c r="I18" s="78">
        <v>0</v>
      </c>
      <c r="J18" s="78">
        <v>0</v>
      </c>
      <c r="K18" s="78">
        <v>0</v>
      </c>
      <c r="L18" s="78">
        <v>0</v>
      </c>
      <c r="M18" s="287">
        <f t="shared" si="1"/>
        <v>0</v>
      </c>
      <c r="N18" s="174">
        <f>'[2]A5-Capex'!J19</f>
        <v>0</v>
      </c>
      <c r="O18" s="53">
        <f>'[2]A5-Capex'!K19</f>
        <v>0</v>
      </c>
      <c r="P18" s="168">
        <f>'[2]A5-Capex'!L19</f>
        <v>0</v>
      </c>
    </row>
    <row r="19" spans="1:16" ht="12.75" customHeight="1" x14ac:dyDescent="0.2">
      <c r="A19" s="416" t="str">
        <f>'[2]A5-Capex'!A20</f>
        <v>Vote 15 - [NAME OF VOTE 15]</v>
      </c>
      <c r="B19" s="167">
        <v>0</v>
      </c>
      <c r="C19" s="78">
        <v>0</v>
      </c>
      <c r="D19" s="78">
        <v>0</v>
      </c>
      <c r="E19" s="78">
        <v>0</v>
      </c>
      <c r="F19" s="78">
        <v>0</v>
      </c>
      <c r="G19" s="78">
        <v>0</v>
      </c>
      <c r="H19" s="78">
        <v>0</v>
      </c>
      <c r="I19" s="78">
        <v>0</v>
      </c>
      <c r="J19" s="78">
        <v>0</v>
      </c>
      <c r="K19" s="78">
        <v>0</v>
      </c>
      <c r="L19" s="78">
        <v>0</v>
      </c>
      <c r="M19" s="287">
        <f t="shared" si="1"/>
        <v>0</v>
      </c>
      <c r="N19" s="174">
        <f>'[2]A5-Capex'!J20</f>
        <v>0</v>
      </c>
      <c r="O19" s="53">
        <f>'[2]A5-Capex'!K20</f>
        <v>0</v>
      </c>
      <c r="P19" s="168">
        <f>'[2]A5-Capex'!L20</f>
        <v>0</v>
      </c>
    </row>
    <row r="20" spans="1:16" ht="12.75" customHeight="1" x14ac:dyDescent="0.2">
      <c r="A20" s="63" t="s">
        <v>433</v>
      </c>
      <c r="B20" s="345">
        <f>SUM(B5:B19)</f>
        <v>18510000</v>
      </c>
      <c r="C20" s="94">
        <f t="shared" ref="C20:P20" si="2">SUM(C5:C19)</f>
        <v>15970000</v>
      </c>
      <c r="D20" s="94">
        <f t="shared" si="2"/>
        <v>14000000</v>
      </c>
      <c r="E20" s="94">
        <f t="shared" si="2"/>
        <v>7050000</v>
      </c>
      <c r="F20" s="94">
        <f t="shared" si="2"/>
        <v>6370000</v>
      </c>
      <c r="G20" s="94">
        <f t="shared" si="2"/>
        <v>10920000</v>
      </c>
      <c r="H20" s="94">
        <f t="shared" si="2"/>
        <v>8650000</v>
      </c>
      <c r="I20" s="94">
        <f t="shared" si="2"/>
        <v>5450000</v>
      </c>
      <c r="J20" s="94">
        <f t="shared" si="2"/>
        <v>8011000</v>
      </c>
      <c r="K20" s="94">
        <f t="shared" si="2"/>
        <v>7245173</v>
      </c>
      <c r="L20" s="94">
        <f>SUM(L5:L19)</f>
        <v>1300000</v>
      </c>
      <c r="M20" s="344">
        <f t="shared" si="2"/>
        <v>0</v>
      </c>
      <c r="N20" s="345">
        <f t="shared" si="2"/>
        <v>103476173</v>
      </c>
      <c r="O20" s="94">
        <f t="shared" si="2"/>
        <v>169247944</v>
      </c>
      <c r="P20" s="346">
        <f t="shared" si="2"/>
        <v>163552267</v>
      </c>
    </row>
    <row r="21" spans="1:16" ht="12.75" customHeight="1" x14ac:dyDescent="0.2">
      <c r="A21" s="417"/>
      <c r="B21" s="418"/>
      <c r="C21" s="419"/>
      <c r="D21" s="419"/>
      <c r="E21" s="419"/>
      <c r="F21" s="419"/>
      <c r="G21" s="419"/>
      <c r="H21" s="419"/>
      <c r="I21" s="419"/>
      <c r="J21" s="419"/>
      <c r="K21" s="419"/>
      <c r="L21" s="419"/>
      <c r="M21" s="420"/>
      <c r="N21" s="418"/>
      <c r="O21" s="419"/>
      <c r="P21" s="421"/>
    </row>
    <row r="22" spans="1:16" ht="12.75" customHeight="1" x14ac:dyDescent="0.2">
      <c r="A22" s="110" t="s">
        <v>575</v>
      </c>
      <c r="B22" s="174"/>
      <c r="C22" s="53"/>
      <c r="D22" s="53"/>
      <c r="E22" s="53"/>
      <c r="F22" s="53"/>
      <c r="G22" s="53"/>
      <c r="H22" s="53"/>
      <c r="I22" s="53"/>
      <c r="J22" s="53"/>
      <c r="K22" s="53"/>
      <c r="L22" s="53"/>
      <c r="M22" s="287"/>
      <c r="N22" s="174"/>
      <c r="O22" s="53"/>
      <c r="P22" s="168"/>
    </row>
    <row r="23" spans="1:16" ht="12.75" customHeight="1" x14ac:dyDescent="0.2">
      <c r="A23" s="416" t="str">
        <f>'[2]A5-Capex'!A24</f>
        <v>Vote 1 - Executive &amp; Council</v>
      </c>
      <c r="B23" s="167">
        <v>0</v>
      </c>
      <c r="C23" s="78">
        <v>0</v>
      </c>
      <c r="D23" s="78">
        <v>525000</v>
      </c>
      <c r="E23" s="78">
        <v>0</v>
      </c>
      <c r="F23" s="78">
        <v>0</v>
      </c>
      <c r="G23" s="78">
        <v>0</v>
      </c>
      <c r="H23" s="78">
        <v>0</v>
      </c>
      <c r="I23" s="78">
        <v>0</v>
      </c>
      <c r="J23" s="78">
        <v>0</v>
      </c>
      <c r="K23" s="78">
        <v>0</v>
      </c>
      <c r="L23" s="78">
        <v>0</v>
      </c>
      <c r="M23" s="287">
        <f>N23-SUM(B23:L23)</f>
        <v>0</v>
      </c>
      <c r="N23" s="174">
        <f>'[2]A5-Capex'!J24</f>
        <v>525000</v>
      </c>
      <c r="O23" s="53">
        <f>'[2]A5-Capex'!K24</f>
        <v>0</v>
      </c>
      <c r="P23" s="168">
        <f>'[2]A5-Capex'!L24</f>
        <v>0</v>
      </c>
    </row>
    <row r="24" spans="1:16" ht="12.75" customHeight="1" x14ac:dyDescent="0.2">
      <c r="A24" s="416" t="str">
        <f>'[2]A5-Capex'!A25</f>
        <v>Vote 2 - Finance and Administration</v>
      </c>
      <c r="B24" s="175">
        <v>0</v>
      </c>
      <c r="C24" s="293">
        <v>0</v>
      </c>
      <c r="D24" s="293">
        <v>0</v>
      </c>
      <c r="E24" s="293">
        <v>417000</v>
      </c>
      <c r="F24" s="293">
        <v>2000000</v>
      </c>
      <c r="G24" s="293">
        <v>0</v>
      </c>
      <c r="H24" s="293">
        <v>2000000</v>
      </c>
      <c r="I24" s="293">
        <v>0</v>
      </c>
      <c r="J24" s="293">
        <v>0</v>
      </c>
      <c r="K24" s="293">
        <v>0</v>
      </c>
      <c r="L24" s="293">
        <v>0</v>
      </c>
      <c r="M24" s="287">
        <f t="shared" ref="M24:M29" si="3">N24-SUM(B24:L24)</f>
        <v>0</v>
      </c>
      <c r="N24" s="174">
        <f>'[2]A5-Capex'!J25</f>
        <v>4417000</v>
      </c>
      <c r="O24" s="53">
        <f>'[2]A5-Capex'!K25</f>
        <v>0</v>
      </c>
      <c r="P24" s="168">
        <f>'[2]A5-Capex'!L25</f>
        <v>0</v>
      </c>
    </row>
    <row r="25" spans="1:16" ht="12.75" customHeight="1" x14ac:dyDescent="0.2">
      <c r="A25" s="416" t="str">
        <f>'[2]A5-Capex'!A26</f>
        <v>Vote 3 - Internal Audit</v>
      </c>
      <c r="B25" s="167">
        <v>0</v>
      </c>
      <c r="C25" s="78">
        <v>0</v>
      </c>
      <c r="D25" s="78">
        <v>0</v>
      </c>
      <c r="E25" s="78">
        <v>0</v>
      </c>
      <c r="F25" s="78">
        <v>0</v>
      </c>
      <c r="G25" s="78">
        <v>0</v>
      </c>
      <c r="H25" s="78">
        <v>0</v>
      </c>
      <c r="I25" s="78">
        <v>0</v>
      </c>
      <c r="J25" s="78">
        <v>0</v>
      </c>
      <c r="K25" s="78">
        <v>0</v>
      </c>
      <c r="L25" s="78">
        <v>0</v>
      </c>
      <c r="M25" s="287">
        <f t="shared" si="3"/>
        <v>0</v>
      </c>
      <c r="N25" s="174">
        <f>'[2]A5-Capex'!J26</f>
        <v>0</v>
      </c>
      <c r="O25" s="53">
        <f>'[2]A5-Capex'!K26</f>
        <v>0</v>
      </c>
      <c r="P25" s="168">
        <f>'[2]A5-Capex'!L26</f>
        <v>0</v>
      </c>
    </row>
    <row r="26" spans="1:16" ht="12.75" customHeight="1" x14ac:dyDescent="0.2">
      <c r="A26" s="416" t="str">
        <f>'[2]A5-Capex'!A27</f>
        <v>Vote 4 - Community and Public Safety</v>
      </c>
      <c r="B26" s="167">
        <v>575000</v>
      </c>
      <c r="C26" s="78">
        <v>0</v>
      </c>
      <c r="D26" s="78">
        <v>900000</v>
      </c>
      <c r="E26" s="78">
        <v>0</v>
      </c>
      <c r="F26" s="78">
        <v>388000</v>
      </c>
      <c r="G26" s="78">
        <v>0</v>
      </c>
      <c r="H26" s="78">
        <v>0</v>
      </c>
      <c r="I26" s="78">
        <v>0</v>
      </c>
      <c r="J26" s="78">
        <v>0</v>
      </c>
      <c r="K26" s="78">
        <v>0</v>
      </c>
      <c r="L26" s="78">
        <v>0</v>
      </c>
      <c r="M26" s="287">
        <f t="shared" si="3"/>
        <v>0</v>
      </c>
      <c r="N26" s="174">
        <f>'[2]A5-Capex'!J27</f>
        <v>1863000</v>
      </c>
      <c r="O26" s="53">
        <f>'[2]A5-Capex'!K27</f>
        <v>0</v>
      </c>
      <c r="P26" s="168">
        <f>'[2]A5-Capex'!L27</f>
        <v>0</v>
      </c>
    </row>
    <row r="27" spans="1:16" ht="12.75" customHeight="1" x14ac:dyDescent="0.2">
      <c r="A27" s="416" t="str">
        <f>'[2]A5-Capex'!A28</f>
        <v>Vote 5 - Sports and Recreation</v>
      </c>
      <c r="B27" s="167">
        <v>0</v>
      </c>
      <c r="C27" s="78">
        <v>0</v>
      </c>
      <c r="D27" s="78">
        <v>0</v>
      </c>
      <c r="E27" s="78">
        <v>0</v>
      </c>
      <c r="F27" s="78">
        <v>0</v>
      </c>
      <c r="G27" s="78">
        <v>0</v>
      </c>
      <c r="H27" s="78">
        <v>0</v>
      </c>
      <c r="I27" s="78">
        <v>0</v>
      </c>
      <c r="J27" s="78">
        <v>0</v>
      </c>
      <c r="K27" s="78">
        <v>0</v>
      </c>
      <c r="L27" s="78">
        <v>0</v>
      </c>
      <c r="M27" s="287">
        <f t="shared" si="3"/>
        <v>0</v>
      </c>
      <c r="N27" s="174">
        <f>'[2]A5-Capex'!J28</f>
        <v>0</v>
      </c>
      <c r="O27" s="53">
        <f>'[2]A5-Capex'!K28</f>
        <v>0</v>
      </c>
      <c r="P27" s="168">
        <f>'[2]A5-Capex'!L28</f>
        <v>0</v>
      </c>
    </row>
    <row r="28" spans="1:16" ht="12.75" customHeight="1" x14ac:dyDescent="0.2">
      <c r="A28" s="416" t="str">
        <f>'[2]A5-Capex'!A29</f>
        <v>Vote 6 - Housing</v>
      </c>
      <c r="B28" s="167">
        <v>0</v>
      </c>
      <c r="C28" s="78">
        <v>0</v>
      </c>
      <c r="D28" s="78">
        <v>0</v>
      </c>
      <c r="E28" s="78">
        <v>0</v>
      </c>
      <c r="F28" s="78">
        <v>0</v>
      </c>
      <c r="G28" s="78">
        <v>0</v>
      </c>
      <c r="H28" s="78">
        <v>0</v>
      </c>
      <c r="I28" s="78">
        <v>0</v>
      </c>
      <c r="J28" s="78">
        <v>0</v>
      </c>
      <c r="K28" s="78">
        <v>0</v>
      </c>
      <c r="L28" s="78">
        <v>0</v>
      </c>
      <c r="M28" s="287">
        <f t="shared" si="3"/>
        <v>0</v>
      </c>
      <c r="N28" s="174">
        <f>'[2]A5-Capex'!J29</f>
        <v>0</v>
      </c>
      <c r="O28" s="53">
        <f>'[2]A5-Capex'!K29</f>
        <v>0</v>
      </c>
      <c r="P28" s="168">
        <f>'[2]A5-Capex'!L29</f>
        <v>0</v>
      </c>
    </row>
    <row r="29" spans="1:16" ht="12.75" customHeight="1" x14ac:dyDescent="0.2">
      <c r="A29" s="416" t="str">
        <f>'[2]A5-Capex'!A30</f>
        <v xml:space="preserve">Vote 7 - Planning and development </v>
      </c>
      <c r="B29" s="167">
        <v>0</v>
      </c>
      <c r="C29" s="78">
        <v>0</v>
      </c>
      <c r="D29" s="78">
        <v>0</v>
      </c>
      <c r="E29" s="78">
        <v>0</v>
      </c>
      <c r="F29" s="78">
        <v>0</v>
      </c>
      <c r="G29" s="78">
        <v>0</v>
      </c>
      <c r="H29" s="78">
        <v>0</v>
      </c>
      <c r="I29" s="78">
        <v>0</v>
      </c>
      <c r="J29" s="78">
        <v>0</v>
      </c>
      <c r="K29" s="78">
        <v>0</v>
      </c>
      <c r="L29" s="78">
        <v>0</v>
      </c>
      <c r="M29" s="287">
        <f t="shared" si="3"/>
        <v>0</v>
      </c>
      <c r="N29" s="174">
        <f>'[2]A5-Capex'!J30</f>
        <v>0</v>
      </c>
      <c r="O29" s="53">
        <f>'[2]A5-Capex'!K30</f>
        <v>0</v>
      </c>
      <c r="P29" s="168">
        <f>'[2]A5-Capex'!L30</f>
        <v>0</v>
      </c>
    </row>
    <row r="30" spans="1:16" x14ac:dyDescent="0.2">
      <c r="A30" s="416" t="str">
        <f>'[2]A5-Capex'!A31</f>
        <v>Vote 8 - Road Transport</v>
      </c>
      <c r="B30" s="167">
        <v>520000</v>
      </c>
      <c r="C30" s="78">
        <v>1800000</v>
      </c>
      <c r="D30" s="78">
        <v>0</v>
      </c>
      <c r="E30" s="78">
        <v>0</v>
      </c>
      <c r="F30" s="78">
        <v>1823047</v>
      </c>
      <c r="G30" s="78">
        <v>0</v>
      </c>
      <c r="H30" s="78">
        <v>5500000</v>
      </c>
      <c r="I30" s="78">
        <v>6000000</v>
      </c>
      <c r="J30" s="78">
        <v>0</v>
      </c>
      <c r="K30" s="78">
        <v>0</v>
      </c>
      <c r="L30" s="78">
        <v>0</v>
      </c>
      <c r="M30" s="287">
        <f>N30-SUM(B30:L30)</f>
        <v>0</v>
      </c>
      <c r="N30" s="174">
        <f>'[2]A5-Capex'!J31</f>
        <v>15643047</v>
      </c>
      <c r="O30" s="53">
        <f>'[2]A5-Capex'!K31</f>
        <v>3747986</v>
      </c>
      <c r="P30" s="168">
        <f>'[2]A5-Capex'!L31</f>
        <v>3998733</v>
      </c>
    </row>
    <row r="31" spans="1:16" x14ac:dyDescent="0.2">
      <c r="A31" s="416" t="str">
        <f>'[2]A5-Capex'!A32</f>
        <v>Vote 9 - Energy Sources</v>
      </c>
      <c r="B31" s="167">
        <v>700000</v>
      </c>
      <c r="C31" s="78">
        <v>0</v>
      </c>
      <c r="D31" s="78">
        <v>1100000</v>
      </c>
      <c r="E31" s="78">
        <v>2400000</v>
      </c>
      <c r="F31" s="78">
        <v>600000</v>
      </c>
      <c r="G31" s="78">
        <v>0</v>
      </c>
      <c r="H31" s="78">
        <v>1200000</v>
      </c>
      <c r="I31" s="78">
        <v>0</v>
      </c>
      <c r="J31" s="78">
        <v>5200000</v>
      </c>
      <c r="K31" s="78">
        <v>3300000</v>
      </c>
      <c r="L31" s="78">
        <v>600000</v>
      </c>
      <c r="M31" s="287">
        <f>N31-SUM(B31:L31)</f>
        <v>0</v>
      </c>
      <c r="N31" s="174">
        <f>'[2]A5-Capex'!J32</f>
        <v>15100000</v>
      </c>
      <c r="O31" s="53">
        <f>'[2]A5-Capex'!K32</f>
        <v>9500000</v>
      </c>
      <c r="P31" s="168">
        <f>'[2]A5-Capex'!L32</f>
        <v>17491920</v>
      </c>
    </row>
    <row r="32" spans="1:16" x14ac:dyDescent="0.2">
      <c r="A32" s="416" t="str">
        <f>'[2]A5-Capex'!A33</f>
        <v>Vote 10 - Waste Water Management</v>
      </c>
      <c r="B32" s="167">
        <v>0</v>
      </c>
      <c r="C32" s="78">
        <v>2980000</v>
      </c>
      <c r="D32" s="78">
        <v>0</v>
      </c>
      <c r="E32" s="78">
        <v>0</v>
      </c>
      <c r="F32" s="78">
        <v>0</v>
      </c>
      <c r="G32" s="78">
        <v>700000</v>
      </c>
      <c r="H32" s="78">
        <v>0</v>
      </c>
      <c r="I32" s="78">
        <v>0</v>
      </c>
      <c r="J32" s="78">
        <v>0</v>
      </c>
      <c r="K32" s="78">
        <v>0</v>
      </c>
      <c r="L32" s="78">
        <v>0</v>
      </c>
      <c r="M32" s="287">
        <f t="shared" ref="M32:M37" si="4">N32-SUM(B32:L32)</f>
        <v>0</v>
      </c>
      <c r="N32" s="174">
        <f>'[2]A5-Capex'!J33</f>
        <v>3680000</v>
      </c>
      <c r="O32" s="53">
        <f>'[2]A5-Capex'!K33</f>
        <v>3326364</v>
      </c>
      <c r="P32" s="168">
        <f>'[2]A5-Capex'!L33</f>
        <v>15508298</v>
      </c>
    </row>
    <row r="33" spans="1:19" x14ac:dyDescent="0.2">
      <c r="A33" s="416" t="str">
        <f>'[2]A5-Capex'!A34</f>
        <v>Vote 11 - Waste Management</v>
      </c>
      <c r="B33" s="167">
        <v>0</v>
      </c>
      <c r="C33" s="78">
        <v>0</v>
      </c>
      <c r="D33" s="78">
        <v>1400000</v>
      </c>
      <c r="E33" s="78">
        <v>2115000</v>
      </c>
      <c r="F33" s="78">
        <v>0</v>
      </c>
      <c r="G33" s="78">
        <v>890000</v>
      </c>
      <c r="H33" s="78">
        <v>1000000</v>
      </c>
      <c r="I33" s="78">
        <v>0</v>
      </c>
      <c r="J33" s="78">
        <v>0</v>
      </c>
      <c r="K33" s="78">
        <v>0</v>
      </c>
      <c r="L33" s="78">
        <v>850000</v>
      </c>
      <c r="M33" s="287">
        <f t="shared" si="4"/>
        <v>595000</v>
      </c>
      <c r="N33" s="174">
        <f>'[2]A5-Capex'!J34</f>
        <v>6850000</v>
      </c>
      <c r="O33" s="53">
        <f>'[2]A5-Capex'!K34</f>
        <v>0</v>
      </c>
      <c r="P33" s="168">
        <f>'[2]A5-Capex'!L34</f>
        <v>0</v>
      </c>
    </row>
    <row r="34" spans="1:19" x14ac:dyDescent="0.2">
      <c r="A34" s="416" t="str">
        <f>'[2]A5-Capex'!A35</f>
        <v>Vote 12 - [NAME OF VOTE 12]</v>
      </c>
      <c r="B34" s="167">
        <v>0</v>
      </c>
      <c r="C34" s="78">
        <v>0</v>
      </c>
      <c r="D34" s="78">
        <v>0</v>
      </c>
      <c r="E34" s="78">
        <v>0</v>
      </c>
      <c r="F34" s="78">
        <v>0</v>
      </c>
      <c r="G34" s="78">
        <v>0</v>
      </c>
      <c r="H34" s="78">
        <v>0</v>
      </c>
      <c r="I34" s="78">
        <v>0</v>
      </c>
      <c r="J34" s="78">
        <v>0</v>
      </c>
      <c r="K34" s="78">
        <v>0</v>
      </c>
      <c r="L34" s="78">
        <v>0</v>
      </c>
      <c r="M34" s="287">
        <f t="shared" si="4"/>
        <v>0</v>
      </c>
      <c r="N34" s="174">
        <f>'[2]A5-Capex'!J35</f>
        <v>0</v>
      </c>
      <c r="O34" s="53">
        <f>'[2]A5-Capex'!K35</f>
        <v>0</v>
      </c>
      <c r="P34" s="168">
        <f>'[2]A5-Capex'!L35</f>
        <v>0</v>
      </c>
    </row>
    <row r="35" spans="1:19" x14ac:dyDescent="0.2">
      <c r="A35" s="416" t="str">
        <f>'[2]A5-Capex'!A36</f>
        <v>Vote 13 - [NAME OF VOTE 13]</v>
      </c>
      <c r="B35" s="167">
        <v>0</v>
      </c>
      <c r="C35" s="78">
        <v>0</v>
      </c>
      <c r="D35" s="78">
        <v>0</v>
      </c>
      <c r="E35" s="78">
        <v>0</v>
      </c>
      <c r="F35" s="78">
        <v>0</v>
      </c>
      <c r="G35" s="78">
        <v>0</v>
      </c>
      <c r="H35" s="78">
        <v>0</v>
      </c>
      <c r="I35" s="78">
        <v>0</v>
      </c>
      <c r="J35" s="78">
        <v>0</v>
      </c>
      <c r="K35" s="78">
        <v>0</v>
      </c>
      <c r="L35" s="78">
        <v>0</v>
      </c>
      <c r="M35" s="287">
        <f t="shared" si="4"/>
        <v>0</v>
      </c>
      <c r="N35" s="174">
        <f>'[2]A5-Capex'!J36</f>
        <v>0</v>
      </c>
      <c r="O35" s="53">
        <f>'[2]A5-Capex'!K36</f>
        <v>0</v>
      </c>
      <c r="P35" s="168">
        <f>'[2]A5-Capex'!L36</f>
        <v>0</v>
      </c>
    </row>
    <row r="36" spans="1:19" x14ac:dyDescent="0.2">
      <c r="A36" s="416" t="str">
        <f>'[2]A5-Capex'!A37</f>
        <v>Vote 14 - [NAME OF VOTE 14]</v>
      </c>
      <c r="B36" s="167">
        <v>0</v>
      </c>
      <c r="C36" s="78">
        <v>0</v>
      </c>
      <c r="D36" s="78">
        <v>0</v>
      </c>
      <c r="E36" s="78">
        <v>0</v>
      </c>
      <c r="F36" s="78">
        <v>0</v>
      </c>
      <c r="G36" s="78">
        <v>0</v>
      </c>
      <c r="H36" s="78">
        <v>0</v>
      </c>
      <c r="I36" s="78">
        <v>0</v>
      </c>
      <c r="J36" s="78">
        <v>0</v>
      </c>
      <c r="K36" s="78">
        <v>0</v>
      </c>
      <c r="L36" s="78">
        <v>0</v>
      </c>
      <c r="M36" s="287">
        <f t="shared" si="4"/>
        <v>0</v>
      </c>
      <c r="N36" s="174">
        <f>'[2]A5-Capex'!J37</f>
        <v>0</v>
      </c>
      <c r="O36" s="53">
        <f>'[2]A5-Capex'!K37</f>
        <v>0</v>
      </c>
      <c r="P36" s="168">
        <f>'[2]A5-Capex'!L37</f>
        <v>0</v>
      </c>
    </row>
    <row r="37" spans="1:19" x14ac:dyDescent="0.2">
      <c r="A37" s="416" t="str">
        <f>'[2]A5-Capex'!A38</f>
        <v>Vote 15 - [NAME OF VOTE 15]</v>
      </c>
      <c r="B37" s="167">
        <v>0</v>
      </c>
      <c r="C37" s="78">
        <v>0</v>
      </c>
      <c r="D37" s="78">
        <v>0</v>
      </c>
      <c r="E37" s="78">
        <v>0</v>
      </c>
      <c r="F37" s="78">
        <v>0</v>
      </c>
      <c r="G37" s="78">
        <v>0</v>
      </c>
      <c r="H37" s="78">
        <v>0</v>
      </c>
      <c r="I37" s="78">
        <v>0</v>
      </c>
      <c r="J37" s="78">
        <v>0</v>
      </c>
      <c r="K37" s="78">
        <v>0</v>
      </c>
      <c r="L37" s="78">
        <v>0</v>
      </c>
      <c r="M37" s="287">
        <f t="shared" si="4"/>
        <v>0</v>
      </c>
      <c r="N37" s="174">
        <f>'[2]A5-Capex'!J38</f>
        <v>0</v>
      </c>
      <c r="O37" s="53">
        <f>'[2]A5-Capex'!K38</f>
        <v>0</v>
      </c>
      <c r="P37" s="168">
        <f>'[2]A5-Capex'!L38</f>
        <v>0</v>
      </c>
    </row>
    <row r="38" spans="1:19" x14ac:dyDescent="0.2">
      <c r="A38" s="63" t="s">
        <v>434</v>
      </c>
      <c r="B38" s="345">
        <f t="shared" ref="B38:P38" si="5">SUM(B23:B37)</f>
        <v>1795000</v>
      </c>
      <c r="C38" s="94">
        <f t="shared" si="5"/>
        <v>4780000</v>
      </c>
      <c r="D38" s="94">
        <f t="shared" si="5"/>
        <v>3925000</v>
      </c>
      <c r="E38" s="94">
        <f t="shared" si="5"/>
        <v>4932000</v>
      </c>
      <c r="F38" s="94">
        <f t="shared" si="5"/>
        <v>4811047</v>
      </c>
      <c r="G38" s="94">
        <f t="shared" si="5"/>
        <v>1590000</v>
      </c>
      <c r="H38" s="94">
        <f t="shared" si="5"/>
        <v>9700000</v>
      </c>
      <c r="I38" s="94">
        <f t="shared" si="5"/>
        <v>6000000</v>
      </c>
      <c r="J38" s="94">
        <f t="shared" si="5"/>
        <v>5200000</v>
      </c>
      <c r="K38" s="94">
        <f t="shared" si="5"/>
        <v>3300000</v>
      </c>
      <c r="L38" s="94">
        <f t="shared" si="5"/>
        <v>1450000</v>
      </c>
      <c r="M38" s="344">
        <f t="shared" si="5"/>
        <v>595000</v>
      </c>
      <c r="N38" s="345">
        <f t="shared" si="5"/>
        <v>48078047</v>
      </c>
      <c r="O38" s="94">
        <f t="shared" si="5"/>
        <v>16574350</v>
      </c>
      <c r="P38" s="346">
        <f t="shared" si="5"/>
        <v>36998951</v>
      </c>
    </row>
    <row r="39" spans="1:19" ht="20.399999999999999" x14ac:dyDescent="0.2">
      <c r="A39" s="176" t="s">
        <v>435</v>
      </c>
      <c r="B39" s="177">
        <f>B20+B38</f>
        <v>20305000</v>
      </c>
      <c r="C39" s="178">
        <f t="shared" ref="C39:M39" si="6">C20+C38</f>
        <v>20750000</v>
      </c>
      <c r="D39" s="178">
        <f t="shared" si="6"/>
        <v>17925000</v>
      </c>
      <c r="E39" s="178">
        <f t="shared" si="6"/>
        <v>11982000</v>
      </c>
      <c r="F39" s="178">
        <f t="shared" si="6"/>
        <v>11181047</v>
      </c>
      <c r="G39" s="178">
        <f t="shared" si="6"/>
        <v>12510000</v>
      </c>
      <c r="H39" s="178">
        <f t="shared" si="6"/>
        <v>18350000</v>
      </c>
      <c r="I39" s="178">
        <f t="shared" si="6"/>
        <v>11450000</v>
      </c>
      <c r="J39" s="178">
        <f t="shared" si="6"/>
        <v>13211000</v>
      </c>
      <c r="K39" s="178">
        <f t="shared" si="6"/>
        <v>10545173</v>
      </c>
      <c r="L39" s="178">
        <f t="shared" si="6"/>
        <v>2750000</v>
      </c>
      <c r="M39" s="383">
        <f t="shared" si="6"/>
        <v>595000</v>
      </c>
      <c r="N39" s="177">
        <f>N20+N38</f>
        <v>151554220</v>
      </c>
      <c r="O39" s="178">
        <f>O20+O38</f>
        <v>185822294</v>
      </c>
      <c r="P39" s="181">
        <f>P20+P38</f>
        <v>200551218</v>
      </c>
    </row>
    <row r="40" spans="1:19" x14ac:dyDescent="0.2">
      <c r="A40" s="422"/>
      <c r="B40" s="420"/>
      <c r="C40" s="420"/>
      <c r="D40" s="420"/>
      <c r="E40" s="420"/>
      <c r="F40" s="420"/>
      <c r="G40" s="420"/>
      <c r="H40" s="420"/>
      <c r="I40" s="420"/>
      <c r="J40" s="420"/>
      <c r="K40" s="420"/>
      <c r="L40" s="420"/>
      <c r="M40" s="420"/>
      <c r="N40" s="420"/>
      <c r="O40" s="420"/>
      <c r="P40" s="420"/>
    </row>
    <row r="41" spans="1:19" x14ac:dyDescent="0.2">
      <c r="A41" s="422"/>
      <c r="B41" s="420"/>
      <c r="C41" s="420"/>
      <c r="D41" s="420"/>
      <c r="E41" s="420"/>
      <c r="F41" s="420"/>
      <c r="G41" s="420"/>
      <c r="H41" s="420"/>
      <c r="I41" s="420"/>
      <c r="J41" s="420"/>
      <c r="K41" s="420"/>
      <c r="L41" s="420"/>
      <c r="M41" s="420"/>
      <c r="N41" s="420"/>
      <c r="O41" s="420"/>
      <c r="P41" s="420"/>
    </row>
    <row r="42" spans="1:19" s="183" customFormat="1" x14ac:dyDescent="0.2">
      <c r="A42" s="423">
        <f>head27a</f>
        <v>2</v>
      </c>
      <c r="B42" s="71"/>
      <c r="C42" s="71"/>
      <c r="D42" s="71"/>
      <c r="E42" s="71"/>
      <c r="F42" s="71"/>
      <c r="G42" s="71"/>
      <c r="H42" s="71"/>
      <c r="I42" s="71"/>
      <c r="J42" s="71"/>
      <c r="K42" s="71"/>
      <c r="L42" s="71"/>
      <c r="M42" s="71"/>
      <c r="N42" s="71"/>
      <c r="O42" s="71"/>
      <c r="P42" s="71"/>
      <c r="Q42" s="46"/>
      <c r="R42" s="394"/>
      <c r="S42" s="394"/>
    </row>
    <row r="43" spans="1:19" s="183" customFormat="1" x14ac:dyDescent="0.2">
      <c r="A43" s="424" t="s">
        <v>451</v>
      </c>
      <c r="B43" s="71"/>
      <c r="C43" s="71"/>
      <c r="D43" s="71"/>
      <c r="E43" s="71"/>
      <c r="F43" s="71"/>
      <c r="G43" s="71"/>
      <c r="H43" s="71"/>
      <c r="I43" s="71"/>
      <c r="J43" s="71"/>
      <c r="K43" s="71"/>
      <c r="L43" s="71"/>
      <c r="M43" s="71"/>
      <c r="N43" s="71"/>
      <c r="O43" s="71"/>
      <c r="P43" s="71"/>
      <c r="Q43" s="394"/>
      <c r="R43" s="394"/>
      <c r="S43" s="394"/>
    </row>
    <row r="44" spans="1:19" s="183" customFormat="1" x14ac:dyDescent="0.2">
      <c r="A44" s="424" t="s">
        <v>576</v>
      </c>
    </row>
    <row r="45" spans="1:19" x14ac:dyDescent="0.2">
      <c r="A45" s="93" t="s">
        <v>450</v>
      </c>
      <c r="N45" s="425">
        <f>N20-'[2]A5-Capex'!J21</f>
        <v>0</v>
      </c>
      <c r="O45" s="425">
        <f>O20-'[2]A5-Capex'!K21</f>
        <v>0</v>
      </c>
      <c r="P45" s="425">
        <f>P20-'[2]A5-Capex'!L21</f>
        <v>0</v>
      </c>
    </row>
    <row r="47" spans="1:19" x14ac:dyDescent="0.2">
      <c r="D47" s="46" t="s">
        <v>577</v>
      </c>
    </row>
  </sheetData>
  <mergeCells count="2">
    <mergeCell ref="B2:M2"/>
    <mergeCell ref="N2:P2"/>
  </mergeCells>
  <pageMargins left="0.7" right="0.7" top="0.75" bottom="0.75" header="0.3" footer="0.3"/>
  <pageSetup paperSize="9" scale="97"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R53"/>
  <sheetViews>
    <sheetView view="pageBreakPreview" topLeftCell="E20" zoomScale="86" zoomScaleNormal="100" zoomScaleSheetLayoutView="86" workbookViewId="0">
      <selection activeCell="E5" sqref="E5:E25"/>
    </sheetView>
  </sheetViews>
  <sheetFormatPr defaultColWidth="8.88671875" defaultRowHeight="14.4" x14ac:dyDescent="0.3"/>
  <cols>
    <col min="1" max="1" width="6" style="38" customWidth="1"/>
    <col min="2" max="2" width="12.109375" style="38" customWidth="1"/>
    <col min="3" max="3" width="8.109375" style="38" customWidth="1"/>
    <col min="4" max="4" width="17.44140625" style="38" customWidth="1"/>
    <col min="5" max="5" width="13.6640625" style="38" customWidth="1"/>
    <col min="6" max="7" width="8.88671875" style="38"/>
    <col min="8" max="8" width="16.5546875" style="38" customWidth="1"/>
    <col min="9" max="9" width="8.88671875" style="38"/>
    <col min="10" max="10" width="11.6640625" style="38" customWidth="1"/>
    <col min="11" max="11" width="8.88671875" style="38"/>
    <col min="12" max="12" width="10.6640625" style="38" customWidth="1"/>
    <col min="13" max="13" width="15.44140625" style="38" customWidth="1"/>
    <col min="14" max="14" width="9.6640625" style="38" customWidth="1"/>
    <col min="15" max="15" width="14.5546875" style="38" customWidth="1"/>
    <col min="16" max="16384" width="8.88671875" style="38"/>
  </cols>
  <sheetData>
    <row r="1" spans="1:15" ht="42" thickTop="1" thickBot="1" x14ac:dyDescent="0.35">
      <c r="A1" s="426" t="s">
        <v>0</v>
      </c>
      <c r="B1" s="428" t="s">
        <v>2</v>
      </c>
      <c r="C1" s="428" t="s">
        <v>388</v>
      </c>
      <c r="D1" s="428" t="s">
        <v>57</v>
      </c>
      <c r="E1" s="428" t="s">
        <v>346</v>
      </c>
      <c r="F1" s="428" t="s">
        <v>58</v>
      </c>
      <c r="G1" s="426" t="s">
        <v>59</v>
      </c>
      <c r="H1" s="426" t="s">
        <v>273</v>
      </c>
      <c r="I1" s="427" t="s">
        <v>580</v>
      </c>
      <c r="J1" s="428" t="s">
        <v>581</v>
      </c>
      <c r="K1" s="428" t="s">
        <v>582</v>
      </c>
      <c r="L1" s="428" t="s">
        <v>583</v>
      </c>
      <c r="M1" s="428" t="s">
        <v>584</v>
      </c>
      <c r="N1" s="428" t="s">
        <v>60</v>
      </c>
      <c r="O1" s="428" t="s">
        <v>61</v>
      </c>
    </row>
    <row r="2" spans="1:15" ht="15" thickTop="1" x14ac:dyDescent="0.3">
      <c r="A2" s="615" t="s">
        <v>54</v>
      </c>
      <c r="B2" s="616"/>
      <c r="C2" s="616"/>
      <c r="D2" s="616"/>
      <c r="E2" s="616"/>
      <c r="F2" s="616"/>
      <c r="G2" s="616"/>
      <c r="H2" s="616"/>
      <c r="I2" s="616"/>
      <c r="J2" s="616"/>
      <c r="K2" s="616"/>
      <c r="L2" s="616"/>
      <c r="M2" s="616"/>
      <c r="N2" s="616"/>
      <c r="O2" s="617"/>
    </row>
    <row r="3" spans="1:15" x14ac:dyDescent="0.3">
      <c r="A3" s="618" t="s">
        <v>55</v>
      </c>
      <c r="B3" s="619"/>
      <c r="C3" s="619"/>
      <c r="D3" s="619"/>
      <c r="E3" s="619"/>
      <c r="F3" s="619"/>
      <c r="G3" s="619"/>
      <c r="H3" s="619"/>
      <c r="I3" s="619"/>
      <c r="J3" s="619"/>
      <c r="K3" s="619"/>
      <c r="L3" s="619"/>
      <c r="M3" s="619"/>
      <c r="N3" s="619"/>
      <c r="O3" s="620"/>
    </row>
    <row r="4" spans="1:15" ht="15" thickBot="1" x14ac:dyDescent="0.35">
      <c r="A4" s="621" t="s">
        <v>56</v>
      </c>
      <c r="B4" s="622"/>
      <c r="C4" s="622"/>
      <c r="D4" s="622"/>
      <c r="E4" s="622"/>
      <c r="F4" s="622"/>
      <c r="G4" s="622"/>
      <c r="H4" s="622"/>
      <c r="I4" s="622"/>
      <c r="J4" s="622"/>
      <c r="K4" s="622"/>
      <c r="L4" s="622"/>
      <c r="M4" s="622"/>
      <c r="N4" s="622"/>
      <c r="O4" s="623"/>
    </row>
    <row r="5" spans="1:15" ht="42" thickTop="1" thickBot="1" x14ac:dyDescent="0.35">
      <c r="A5" s="11"/>
      <c r="B5" s="7" t="s">
        <v>62</v>
      </c>
      <c r="C5" s="8" t="s">
        <v>63</v>
      </c>
      <c r="D5" s="7" t="s">
        <v>578</v>
      </c>
      <c r="E5" s="7" t="s">
        <v>317</v>
      </c>
      <c r="F5" s="7" t="s">
        <v>64</v>
      </c>
      <c r="G5" s="439">
        <v>43615</v>
      </c>
      <c r="H5" s="8" t="s">
        <v>579</v>
      </c>
      <c r="I5" s="8" t="s">
        <v>65</v>
      </c>
      <c r="J5" s="440" t="s">
        <v>12</v>
      </c>
      <c r="K5" s="440" t="s">
        <v>12</v>
      </c>
      <c r="L5" s="440" t="s">
        <v>12</v>
      </c>
      <c r="M5" s="8" t="s">
        <v>579</v>
      </c>
      <c r="N5" s="8" t="s">
        <v>49</v>
      </c>
      <c r="O5" s="8" t="s">
        <v>67</v>
      </c>
    </row>
    <row r="6" spans="1:15" ht="42" thickTop="1" thickBot="1" x14ac:dyDescent="0.35">
      <c r="A6" s="11"/>
      <c r="B6" s="7" t="s">
        <v>62</v>
      </c>
      <c r="C6" s="8" t="s">
        <v>63</v>
      </c>
      <c r="D6" s="7" t="s">
        <v>68</v>
      </c>
      <c r="E6" s="7" t="s">
        <v>382</v>
      </c>
      <c r="F6" s="7" t="s">
        <v>69</v>
      </c>
      <c r="G6" s="9" t="s">
        <v>933</v>
      </c>
      <c r="H6" s="9" t="s">
        <v>934</v>
      </c>
      <c r="I6" s="8" t="s">
        <v>65</v>
      </c>
      <c r="J6" s="10">
        <v>6</v>
      </c>
      <c r="K6" s="441">
        <v>12</v>
      </c>
      <c r="L6" s="442">
        <v>18</v>
      </c>
      <c r="M6" s="442" t="s">
        <v>12</v>
      </c>
      <c r="N6" s="8"/>
      <c r="O6" s="8" t="s">
        <v>70</v>
      </c>
    </row>
    <row r="7" spans="1:15" ht="52.2" thickTop="1" thickBot="1" x14ac:dyDescent="0.35">
      <c r="A7" s="11"/>
      <c r="B7" s="8" t="s">
        <v>71</v>
      </c>
      <c r="C7" s="8" t="s">
        <v>72</v>
      </c>
      <c r="D7" s="8" t="s">
        <v>585</v>
      </c>
      <c r="E7" s="8" t="s">
        <v>318</v>
      </c>
      <c r="F7" s="8" t="s">
        <v>64</v>
      </c>
      <c r="G7" s="443">
        <v>43310</v>
      </c>
      <c r="H7" s="103" t="s">
        <v>586</v>
      </c>
      <c r="I7" s="8" t="s">
        <v>65</v>
      </c>
      <c r="J7" s="103" t="s">
        <v>586</v>
      </c>
      <c r="K7" s="440" t="s">
        <v>12</v>
      </c>
      <c r="L7" s="440" t="s">
        <v>12</v>
      </c>
      <c r="M7" s="440" t="s">
        <v>12</v>
      </c>
      <c r="N7" s="444" t="s">
        <v>285</v>
      </c>
      <c r="O7" s="8" t="s">
        <v>73</v>
      </c>
    </row>
    <row r="8" spans="1:15" ht="42" thickTop="1" thickBot="1" x14ac:dyDescent="0.35">
      <c r="A8" s="10"/>
      <c r="B8" s="8" t="s">
        <v>71</v>
      </c>
      <c r="C8" s="7" t="s">
        <v>72</v>
      </c>
      <c r="D8" s="8" t="s">
        <v>587</v>
      </c>
      <c r="E8" s="8" t="s">
        <v>465</v>
      </c>
      <c r="F8" s="7" t="s">
        <v>64</v>
      </c>
      <c r="G8" s="439">
        <v>43554</v>
      </c>
      <c r="H8" s="7" t="s">
        <v>588</v>
      </c>
      <c r="I8" s="7" t="s">
        <v>74</v>
      </c>
      <c r="J8" s="440" t="s">
        <v>12</v>
      </c>
      <c r="K8" s="440" t="s">
        <v>12</v>
      </c>
      <c r="L8" s="7" t="s">
        <v>590</v>
      </c>
      <c r="M8" s="7" t="s">
        <v>589</v>
      </c>
      <c r="N8" s="444" t="s">
        <v>285</v>
      </c>
      <c r="O8" s="7" t="s">
        <v>466</v>
      </c>
    </row>
    <row r="9" spans="1:15" ht="62.4" thickTop="1" thickBot="1" x14ac:dyDescent="0.35">
      <c r="A9" s="11"/>
      <c r="B9" s="8" t="s">
        <v>62</v>
      </c>
      <c r="C9" s="8" t="s">
        <v>75</v>
      </c>
      <c r="D9" s="8" t="s">
        <v>591</v>
      </c>
      <c r="E9" s="7" t="s">
        <v>319</v>
      </c>
      <c r="F9" s="7" t="s">
        <v>64</v>
      </c>
      <c r="G9" s="445">
        <v>43646</v>
      </c>
      <c r="H9" s="442" t="s">
        <v>592</v>
      </c>
      <c r="I9" s="8" t="s">
        <v>65</v>
      </c>
      <c r="J9" s="440" t="s">
        <v>12</v>
      </c>
      <c r="K9" s="440" t="s">
        <v>12</v>
      </c>
      <c r="L9" s="440" t="s">
        <v>12</v>
      </c>
      <c r="M9" s="442" t="s">
        <v>284</v>
      </c>
      <c r="N9" s="442" t="s">
        <v>76</v>
      </c>
      <c r="O9" s="442" t="s">
        <v>77</v>
      </c>
    </row>
    <row r="10" spans="1:15" ht="42" thickTop="1" thickBot="1" x14ac:dyDescent="0.35">
      <c r="A10" s="11"/>
      <c r="B10" s="8" t="s">
        <v>62</v>
      </c>
      <c r="C10" s="8" t="s">
        <v>75</v>
      </c>
      <c r="D10" s="8" t="s">
        <v>78</v>
      </c>
      <c r="E10" s="8" t="s">
        <v>320</v>
      </c>
      <c r="F10" s="8" t="s">
        <v>69</v>
      </c>
      <c r="G10" s="11">
        <v>4</v>
      </c>
      <c r="H10" s="11">
        <v>4</v>
      </c>
      <c r="I10" s="8" t="s">
        <v>74</v>
      </c>
      <c r="J10" s="11">
        <v>1</v>
      </c>
      <c r="K10" s="11">
        <v>1</v>
      </c>
      <c r="L10" s="11">
        <v>1</v>
      </c>
      <c r="M10" s="11">
        <v>1</v>
      </c>
      <c r="N10" s="8" t="s">
        <v>76</v>
      </c>
      <c r="O10" s="8" t="s">
        <v>79</v>
      </c>
    </row>
    <row r="11" spans="1:15" ht="62.4" thickTop="1" thickBot="1" x14ac:dyDescent="0.35">
      <c r="A11" s="11"/>
      <c r="B11" s="8" t="s">
        <v>62</v>
      </c>
      <c r="C11" s="8" t="s">
        <v>75</v>
      </c>
      <c r="D11" s="8" t="s">
        <v>80</v>
      </c>
      <c r="E11" s="7" t="s">
        <v>322</v>
      </c>
      <c r="F11" s="7" t="s">
        <v>64</v>
      </c>
      <c r="G11" s="443">
        <v>43310</v>
      </c>
      <c r="H11" s="11" t="s">
        <v>593</v>
      </c>
      <c r="I11" s="8" t="s">
        <v>74</v>
      </c>
      <c r="J11" s="11" t="s">
        <v>593</v>
      </c>
      <c r="K11" s="440" t="s">
        <v>12</v>
      </c>
      <c r="L11" s="440" t="s">
        <v>12</v>
      </c>
      <c r="M11" s="440" t="s">
        <v>12</v>
      </c>
      <c r="N11" s="442" t="s">
        <v>76</v>
      </c>
      <c r="O11" s="8" t="s">
        <v>81</v>
      </c>
    </row>
    <row r="12" spans="1:15" ht="62.4" thickTop="1" thickBot="1" x14ac:dyDescent="0.35">
      <c r="A12" s="11"/>
      <c r="B12" s="8" t="s">
        <v>62</v>
      </c>
      <c r="C12" s="8" t="s">
        <v>75</v>
      </c>
      <c r="D12" s="8" t="s">
        <v>82</v>
      </c>
      <c r="E12" s="8" t="s">
        <v>321</v>
      </c>
      <c r="F12" s="8" t="s">
        <v>69</v>
      </c>
      <c r="G12" s="11">
        <v>1</v>
      </c>
      <c r="H12" s="11">
        <v>12</v>
      </c>
      <c r="I12" s="8" t="s">
        <v>74</v>
      </c>
      <c r="J12" s="11" t="s">
        <v>12</v>
      </c>
      <c r="K12" s="440" t="s">
        <v>12</v>
      </c>
      <c r="L12" s="11">
        <v>6</v>
      </c>
      <c r="M12" s="441">
        <v>6</v>
      </c>
      <c r="N12" s="8" t="s">
        <v>76</v>
      </c>
      <c r="O12" s="8" t="s">
        <v>83</v>
      </c>
    </row>
    <row r="13" spans="1:15" ht="82.8" thickTop="1" thickBot="1" x14ac:dyDescent="0.35">
      <c r="A13" s="11"/>
      <c r="B13" s="8" t="s">
        <v>62</v>
      </c>
      <c r="C13" s="8" t="s">
        <v>75</v>
      </c>
      <c r="D13" s="8" t="s">
        <v>84</v>
      </c>
      <c r="E13" s="7" t="s">
        <v>467</v>
      </c>
      <c r="F13" s="7" t="s">
        <v>64</v>
      </c>
      <c r="G13" s="443">
        <v>43342</v>
      </c>
      <c r="H13" s="11" t="s">
        <v>596</v>
      </c>
      <c r="I13" s="8" t="s">
        <v>74</v>
      </c>
      <c r="J13" s="11" t="s">
        <v>596</v>
      </c>
      <c r="K13" s="440" t="s">
        <v>12</v>
      </c>
      <c r="L13" s="440" t="s">
        <v>12</v>
      </c>
      <c r="M13" s="440" t="s">
        <v>12</v>
      </c>
      <c r="N13" s="442" t="s">
        <v>76</v>
      </c>
      <c r="O13" s="8" t="s">
        <v>85</v>
      </c>
    </row>
    <row r="14" spans="1:15" ht="93" thickTop="1" thickBot="1" x14ac:dyDescent="0.35">
      <c r="A14" s="11"/>
      <c r="B14" s="8" t="s">
        <v>62</v>
      </c>
      <c r="C14" s="8" t="s">
        <v>75</v>
      </c>
      <c r="D14" s="8" t="s">
        <v>84</v>
      </c>
      <c r="E14" s="7" t="s">
        <v>468</v>
      </c>
      <c r="F14" s="7" t="s">
        <v>64</v>
      </c>
      <c r="G14" s="443">
        <v>43490</v>
      </c>
      <c r="H14" s="11" t="s">
        <v>595</v>
      </c>
      <c r="I14" s="8" t="s">
        <v>74</v>
      </c>
      <c r="J14" s="440" t="s">
        <v>12</v>
      </c>
      <c r="K14" s="440" t="s">
        <v>12</v>
      </c>
      <c r="L14" s="11" t="s">
        <v>595</v>
      </c>
      <c r="M14" s="440" t="s">
        <v>12</v>
      </c>
      <c r="N14" s="442" t="s">
        <v>76</v>
      </c>
      <c r="O14" s="8" t="s">
        <v>85</v>
      </c>
    </row>
    <row r="15" spans="1:15" ht="62.4" thickTop="1" thickBot="1" x14ac:dyDescent="0.35">
      <c r="A15" s="11"/>
      <c r="B15" s="8" t="s">
        <v>62</v>
      </c>
      <c r="C15" s="8" t="s">
        <v>75</v>
      </c>
      <c r="D15" s="8" t="s">
        <v>86</v>
      </c>
      <c r="E15" s="7" t="s">
        <v>469</v>
      </c>
      <c r="F15" s="8" t="s">
        <v>64</v>
      </c>
      <c r="G15" s="11" t="s">
        <v>594</v>
      </c>
      <c r="H15" s="11" t="s">
        <v>597</v>
      </c>
      <c r="I15" s="8" t="s">
        <v>74</v>
      </c>
      <c r="J15" s="440" t="s">
        <v>12</v>
      </c>
      <c r="K15" s="440" t="s">
        <v>12</v>
      </c>
      <c r="L15" s="11" t="s">
        <v>597</v>
      </c>
      <c r="M15" s="440" t="s">
        <v>12</v>
      </c>
      <c r="N15" s="8" t="s">
        <v>76</v>
      </c>
      <c r="O15" s="8" t="s">
        <v>87</v>
      </c>
    </row>
    <row r="16" spans="1:15" ht="72.599999999999994" thickTop="1" thickBot="1" x14ac:dyDescent="0.35">
      <c r="A16" s="11"/>
      <c r="B16" s="8" t="s">
        <v>62</v>
      </c>
      <c r="C16" s="8" t="s">
        <v>75</v>
      </c>
      <c r="D16" s="8" t="s">
        <v>84</v>
      </c>
      <c r="E16" s="7" t="s">
        <v>470</v>
      </c>
      <c r="F16" s="8" t="s">
        <v>64</v>
      </c>
      <c r="G16" s="446">
        <v>43555</v>
      </c>
      <c r="H16" s="11" t="s">
        <v>598</v>
      </c>
      <c r="I16" s="8" t="s">
        <v>74</v>
      </c>
      <c r="J16" s="440" t="s">
        <v>12</v>
      </c>
      <c r="K16" s="440" t="s">
        <v>12</v>
      </c>
      <c r="L16" s="11" t="s">
        <v>598</v>
      </c>
      <c r="M16" s="440" t="s">
        <v>12</v>
      </c>
      <c r="N16" s="8" t="s">
        <v>76</v>
      </c>
      <c r="O16" s="8" t="s">
        <v>88</v>
      </c>
    </row>
    <row r="17" spans="1:15" ht="72.599999999999994" thickTop="1" thickBot="1" x14ac:dyDescent="0.35">
      <c r="A17" s="11"/>
      <c r="B17" s="8" t="s">
        <v>62</v>
      </c>
      <c r="C17" s="8" t="s">
        <v>75</v>
      </c>
      <c r="D17" s="8" t="s">
        <v>84</v>
      </c>
      <c r="E17" s="7" t="s">
        <v>876</v>
      </c>
      <c r="F17" s="8" t="s">
        <v>64</v>
      </c>
      <c r="G17" s="443">
        <v>43562</v>
      </c>
      <c r="H17" s="11" t="s">
        <v>599</v>
      </c>
      <c r="I17" s="8" t="s">
        <v>74</v>
      </c>
      <c r="J17" s="440" t="s">
        <v>12</v>
      </c>
      <c r="K17" s="440" t="s">
        <v>12</v>
      </c>
      <c r="L17" s="440" t="s">
        <v>12</v>
      </c>
      <c r="M17" s="11" t="s">
        <v>599</v>
      </c>
      <c r="N17" s="8" t="s">
        <v>76</v>
      </c>
      <c r="O17" s="8" t="s">
        <v>89</v>
      </c>
    </row>
    <row r="18" spans="1:15" ht="52.2" thickTop="1" thickBot="1" x14ac:dyDescent="0.35">
      <c r="A18" s="11"/>
      <c r="B18" s="8" t="s">
        <v>62</v>
      </c>
      <c r="C18" s="8" t="s">
        <v>75</v>
      </c>
      <c r="D18" s="8" t="s">
        <v>84</v>
      </c>
      <c r="E18" s="8" t="s">
        <v>471</v>
      </c>
      <c r="F18" s="8" t="s">
        <v>64</v>
      </c>
      <c r="G18" s="443">
        <v>43555</v>
      </c>
      <c r="H18" s="11" t="s">
        <v>601</v>
      </c>
      <c r="I18" s="8" t="s">
        <v>74</v>
      </c>
      <c r="J18" s="440" t="s">
        <v>12</v>
      </c>
      <c r="K18" s="440" t="s">
        <v>12</v>
      </c>
      <c r="L18" s="11" t="s">
        <v>601</v>
      </c>
      <c r="M18" s="440" t="s">
        <v>12</v>
      </c>
      <c r="N18" s="8" t="s">
        <v>76</v>
      </c>
      <c r="O18" s="8" t="s">
        <v>600</v>
      </c>
    </row>
    <row r="19" spans="1:15" ht="62.4" thickTop="1" thickBot="1" x14ac:dyDescent="0.35">
      <c r="A19" s="11"/>
      <c r="B19" s="8" t="s">
        <v>62</v>
      </c>
      <c r="C19" s="8" t="s">
        <v>90</v>
      </c>
      <c r="D19" s="8" t="s">
        <v>91</v>
      </c>
      <c r="E19" s="8" t="s">
        <v>383</v>
      </c>
      <c r="F19" s="8" t="s">
        <v>381</v>
      </c>
      <c r="G19" s="11" t="s">
        <v>387</v>
      </c>
      <c r="H19" s="103">
        <v>1</v>
      </c>
      <c r="I19" s="8" t="s">
        <v>74</v>
      </c>
      <c r="J19" s="103">
        <v>1</v>
      </c>
      <c r="K19" s="103">
        <v>1</v>
      </c>
      <c r="L19" s="103">
        <v>1</v>
      </c>
      <c r="M19" s="103">
        <v>1</v>
      </c>
      <c r="N19" s="8" t="s">
        <v>66</v>
      </c>
      <c r="O19" s="8" t="s">
        <v>93</v>
      </c>
    </row>
    <row r="20" spans="1:15" ht="52.2" thickTop="1" thickBot="1" x14ac:dyDescent="0.35">
      <c r="A20" s="10"/>
      <c r="B20" s="7" t="s">
        <v>62</v>
      </c>
      <c r="C20" s="7" t="s">
        <v>94</v>
      </c>
      <c r="D20" s="9" t="s">
        <v>95</v>
      </c>
      <c r="E20" s="7" t="s">
        <v>384</v>
      </c>
      <c r="F20" s="7" t="s">
        <v>96</v>
      </c>
      <c r="G20" s="10">
        <v>4</v>
      </c>
      <c r="H20" s="10">
        <v>4</v>
      </c>
      <c r="I20" s="8" t="s">
        <v>74</v>
      </c>
      <c r="J20" s="10">
        <v>1</v>
      </c>
      <c r="K20" s="10">
        <v>1</v>
      </c>
      <c r="L20" s="10">
        <v>1</v>
      </c>
      <c r="M20" s="10">
        <v>1</v>
      </c>
      <c r="N20" s="9" t="s">
        <v>76</v>
      </c>
      <c r="O20" s="7" t="s">
        <v>97</v>
      </c>
    </row>
    <row r="21" spans="1:15" ht="52.2" thickTop="1" thickBot="1" x14ac:dyDescent="0.35">
      <c r="A21" s="10"/>
      <c r="B21" s="7" t="s">
        <v>62</v>
      </c>
      <c r="C21" s="7" t="s">
        <v>94</v>
      </c>
      <c r="D21" s="9" t="s">
        <v>98</v>
      </c>
      <c r="E21" s="7" t="s">
        <v>386</v>
      </c>
      <c r="F21" s="7" t="s">
        <v>64</v>
      </c>
      <c r="G21" s="447">
        <v>43496</v>
      </c>
      <c r="H21" s="10" t="s">
        <v>602</v>
      </c>
      <c r="I21" s="8" t="s">
        <v>74</v>
      </c>
      <c r="J21" s="440" t="s">
        <v>12</v>
      </c>
      <c r="K21" s="440" t="s">
        <v>12</v>
      </c>
      <c r="L21" s="10" t="s">
        <v>602</v>
      </c>
      <c r="M21" s="440" t="s">
        <v>12</v>
      </c>
      <c r="N21" s="9" t="s">
        <v>76</v>
      </c>
      <c r="O21" s="7" t="s">
        <v>99</v>
      </c>
    </row>
    <row r="22" spans="1:15" ht="52.2" thickTop="1" thickBot="1" x14ac:dyDescent="0.35">
      <c r="A22" s="10"/>
      <c r="B22" s="7" t="s">
        <v>62</v>
      </c>
      <c r="C22" s="7" t="s">
        <v>94</v>
      </c>
      <c r="D22" s="9" t="s">
        <v>98</v>
      </c>
      <c r="E22" s="7" t="s">
        <v>385</v>
      </c>
      <c r="F22" s="7" t="s">
        <v>64</v>
      </c>
      <c r="G22" s="447">
        <v>43646</v>
      </c>
      <c r="H22" s="10" t="s">
        <v>603</v>
      </c>
      <c r="I22" s="8" t="s">
        <v>74</v>
      </c>
      <c r="J22" s="440" t="s">
        <v>12</v>
      </c>
      <c r="K22" s="440" t="s">
        <v>12</v>
      </c>
      <c r="L22" s="10" t="s">
        <v>603</v>
      </c>
      <c r="M22" s="440" t="s">
        <v>12</v>
      </c>
      <c r="N22" s="9" t="s">
        <v>76</v>
      </c>
      <c r="O22" s="7" t="s">
        <v>100</v>
      </c>
    </row>
    <row r="23" spans="1:15" ht="72.599999999999994" thickTop="1" thickBot="1" x14ac:dyDescent="0.35">
      <c r="A23" s="10"/>
      <c r="B23" s="9" t="s">
        <v>62</v>
      </c>
      <c r="C23" s="10" t="s">
        <v>94</v>
      </c>
      <c r="D23" s="9" t="s">
        <v>607</v>
      </c>
      <c r="E23" s="7" t="s">
        <v>380</v>
      </c>
      <c r="F23" s="7" t="s">
        <v>473</v>
      </c>
      <c r="G23" s="440" t="s">
        <v>475</v>
      </c>
      <c r="H23" s="440" t="s">
        <v>604</v>
      </c>
      <c r="I23" s="8" t="s">
        <v>74</v>
      </c>
      <c r="J23" s="440">
        <v>0.25</v>
      </c>
      <c r="K23" s="440">
        <v>0.5</v>
      </c>
      <c r="L23" s="440">
        <v>0.75</v>
      </c>
      <c r="M23" s="440" t="s">
        <v>101</v>
      </c>
      <c r="N23" s="440" t="s">
        <v>76</v>
      </c>
      <c r="O23" s="7" t="s">
        <v>102</v>
      </c>
    </row>
    <row r="24" spans="1:15" ht="82.8" thickTop="1" thickBot="1" x14ac:dyDescent="0.35">
      <c r="A24" s="10"/>
      <c r="B24" s="9" t="s">
        <v>62</v>
      </c>
      <c r="C24" s="10" t="s">
        <v>94</v>
      </c>
      <c r="D24" s="9" t="s">
        <v>607</v>
      </c>
      <c r="E24" s="7" t="s">
        <v>379</v>
      </c>
      <c r="F24" s="7" t="s">
        <v>472</v>
      </c>
      <c r="G24" s="448" t="s">
        <v>476</v>
      </c>
      <c r="H24" s="440" t="s">
        <v>605</v>
      </c>
      <c r="I24" s="8" t="s">
        <v>74</v>
      </c>
      <c r="J24" s="440" t="s">
        <v>12</v>
      </c>
      <c r="K24" s="440" t="s">
        <v>12</v>
      </c>
      <c r="L24" s="440">
        <v>0.5</v>
      </c>
      <c r="M24" s="440">
        <v>1</v>
      </c>
      <c r="N24" s="440" t="s">
        <v>76</v>
      </c>
      <c r="O24" s="7" t="s">
        <v>103</v>
      </c>
    </row>
    <row r="25" spans="1:15" ht="72.599999999999994" thickTop="1" thickBot="1" x14ac:dyDescent="0.35">
      <c r="A25" s="10"/>
      <c r="B25" s="7" t="s">
        <v>62</v>
      </c>
      <c r="C25" s="10" t="s">
        <v>104</v>
      </c>
      <c r="D25" s="9" t="s">
        <v>608</v>
      </c>
      <c r="E25" s="7" t="s">
        <v>378</v>
      </c>
      <c r="F25" s="7" t="s">
        <v>474</v>
      </c>
      <c r="G25" s="440" t="s">
        <v>303</v>
      </c>
      <c r="H25" s="440" t="s">
        <v>606</v>
      </c>
      <c r="I25" s="8" t="s">
        <v>74</v>
      </c>
      <c r="J25" s="440">
        <v>0.25</v>
      </c>
      <c r="K25" s="440">
        <v>0.5</v>
      </c>
      <c r="L25" s="440">
        <v>0.75</v>
      </c>
      <c r="M25" s="440">
        <v>1</v>
      </c>
      <c r="N25" s="440" t="s">
        <v>76</v>
      </c>
      <c r="O25" s="7" t="s">
        <v>105</v>
      </c>
    </row>
    <row r="26" spans="1:15" ht="15" thickTop="1" x14ac:dyDescent="0.3"/>
    <row r="53" spans="18:18" x14ac:dyDescent="0.3">
      <c r="R53" s="39"/>
    </row>
  </sheetData>
  <mergeCells count="3">
    <mergeCell ref="A2:O2"/>
    <mergeCell ref="A3:O3"/>
    <mergeCell ref="A4:O4"/>
  </mergeCells>
  <pageMargins left="0.70866141732283472" right="0.70866141732283472" top="0.74803149606299213" bottom="0.74803149606299213" header="0.31496062992125984" footer="0.31496062992125984"/>
  <pageSetup paperSize="9" scale="76" fitToHeight="0" orientation="landscape" r:id="rId1"/>
  <headerFooter>
    <oddFooter>&amp;L2019/20 SDBIP&amp;CMUNICIPAL TRANSFORMATION AND DEVELOPMENT KPI'S&amp;RPage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O10"/>
  <sheetViews>
    <sheetView view="pageBreakPreview" topLeftCell="A7" zoomScale="106" zoomScaleNormal="100" zoomScaleSheetLayoutView="106" workbookViewId="0">
      <selection activeCell="D3" sqref="D3:D9"/>
    </sheetView>
  </sheetViews>
  <sheetFormatPr defaultColWidth="8.88671875" defaultRowHeight="13.8" x14ac:dyDescent="0.3"/>
  <cols>
    <col min="1" max="1" width="5.109375" style="3" customWidth="1"/>
    <col min="2" max="2" width="11.33203125" style="3" customWidth="1"/>
    <col min="3" max="3" width="8.88671875" style="3"/>
    <col min="4" max="4" width="14.6640625" style="3" customWidth="1"/>
    <col min="5" max="5" width="12.6640625" style="3" customWidth="1"/>
    <col min="6" max="6" width="11.5546875" style="3" customWidth="1"/>
    <col min="7" max="7" width="12.109375" style="3" customWidth="1"/>
    <col min="8" max="8" width="16.6640625" style="3" customWidth="1"/>
    <col min="9" max="9" width="8.88671875" style="3"/>
    <col min="10" max="10" width="11.5546875" style="3" customWidth="1"/>
    <col min="11" max="11" width="14.33203125" style="3" customWidth="1"/>
    <col min="12" max="12" width="12" style="3" customWidth="1"/>
    <col min="13" max="13" width="11.88671875" style="3" customWidth="1"/>
    <col min="14" max="14" width="9.109375" style="3" customWidth="1"/>
    <col min="15" max="15" width="10.6640625" style="3" customWidth="1"/>
    <col min="16" max="16384" width="8.88671875" style="3"/>
  </cols>
  <sheetData>
    <row r="1" spans="1:15" s="39" customFormat="1" ht="42.6" thickTop="1" thickBot="1" x14ac:dyDescent="0.35">
      <c r="A1" s="139" t="s">
        <v>0</v>
      </c>
      <c r="B1" s="140" t="s">
        <v>2</v>
      </c>
      <c r="C1" s="140" t="s">
        <v>388</v>
      </c>
      <c r="D1" s="140" t="s">
        <v>57</v>
      </c>
      <c r="E1" s="140" t="s">
        <v>346</v>
      </c>
      <c r="F1" s="140" t="s">
        <v>58</v>
      </c>
      <c r="G1" s="139" t="s">
        <v>59</v>
      </c>
      <c r="H1" s="43" t="s">
        <v>273</v>
      </c>
      <c r="I1" s="45" t="s">
        <v>580</v>
      </c>
      <c r="J1" s="44" t="s">
        <v>581</v>
      </c>
      <c r="K1" s="44" t="s">
        <v>582</v>
      </c>
      <c r="L1" s="44" t="s">
        <v>583</v>
      </c>
      <c r="M1" s="44" t="s">
        <v>584</v>
      </c>
      <c r="N1" s="140" t="s">
        <v>60</v>
      </c>
      <c r="O1" s="140" t="s">
        <v>61</v>
      </c>
    </row>
    <row r="2" spans="1:15" s="39" customFormat="1" ht="57" customHeight="1" thickTop="1" thickBot="1" x14ac:dyDescent="0.35">
      <c r="A2" s="624" t="s">
        <v>106</v>
      </c>
      <c r="B2" s="624"/>
      <c r="C2" s="624"/>
      <c r="D2" s="624"/>
      <c r="E2" s="624"/>
      <c r="F2" s="625"/>
      <c r="G2" s="624"/>
      <c r="H2" s="624"/>
      <c r="I2" s="624"/>
      <c r="J2" s="624"/>
      <c r="K2" s="624"/>
      <c r="L2" s="624"/>
      <c r="M2" s="624"/>
      <c r="N2" s="624"/>
      <c r="O2" s="624"/>
    </row>
    <row r="3" spans="1:15" ht="96" customHeight="1" thickTop="1" thickBot="1" x14ac:dyDescent="0.35">
      <c r="A3" s="141"/>
      <c r="B3" s="142" t="s">
        <v>107</v>
      </c>
      <c r="C3" s="142" t="s">
        <v>108</v>
      </c>
      <c r="D3" s="142" t="s">
        <v>109</v>
      </c>
      <c r="E3" s="142" t="s">
        <v>347</v>
      </c>
      <c r="F3" s="143" t="s">
        <v>348</v>
      </c>
      <c r="G3" s="144" t="s">
        <v>304</v>
      </c>
      <c r="H3" s="144">
        <v>1</v>
      </c>
      <c r="I3" s="141" t="s">
        <v>74</v>
      </c>
      <c r="J3" s="144">
        <v>1</v>
      </c>
      <c r="K3" s="144">
        <v>1</v>
      </c>
      <c r="L3" s="144">
        <v>1</v>
      </c>
      <c r="M3" s="144">
        <v>1</v>
      </c>
      <c r="N3" s="142" t="s">
        <v>285</v>
      </c>
      <c r="O3" s="145" t="s">
        <v>110</v>
      </c>
    </row>
    <row r="4" spans="1:15" ht="72.599999999999994" customHeight="1" thickTop="1" thickBot="1" x14ac:dyDescent="0.35">
      <c r="A4" s="141"/>
      <c r="B4" s="146" t="s">
        <v>10</v>
      </c>
      <c r="C4" s="147" t="s">
        <v>111</v>
      </c>
      <c r="D4" s="147" t="s">
        <v>112</v>
      </c>
      <c r="E4" s="147" t="s">
        <v>349</v>
      </c>
      <c r="F4" s="40" t="s">
        <v>69</v>
      </c>
      <c r="G4" s="148" t="s">
        <v>113</v>
      </c>
      <c r="H4" s="148">
        <v>4654</v>
      </c>
      <c r="I4" s="146" t="s">
        <v>74</v>
      </c>
      <c r="J4" s="148">
        <v>4654</v>
      </c>
      <c r="K4" s="148">
        <v>4654</v>
      </c>
      <c r="L4" s="148">
        <v>4654</v>
      </c>
      <c r="M4" s="148">
        <v>4654</v>
      </c>
      <c r="N4" s="2" t="s">
        <v>17</v>
      </c>
      <c r="O4" s="146" t="s">
        <v>114</v>
      </c>
    </row>
    <row r="5" spans="1:15" ht="52.95" customHeight="1" thickTop="1" thickBot="1" x14ac:dyDescent="0.35">
      <c r="A5" s="141"/>
      <c r="B5" s="146" t="s">
        <v>10</v>
      </c>
      <c r="C5" s="147" t="s">
        <v>21</v>
      </c>
      <c r="D5" s="147" t="s">
        <v>115</v>
      </c>
      <c r="E5" s="147" t="s">
        <v>350</v>
      </c>
      <c r="F5" s="40" t="s">
        <v>69</v>
      </c>
      <c r="G5" s="148" t="s">
        <v>116</v>
      </c>
      <c r="H5" s="148">
        <v>56905</v>
      </c>
      <c r="I5" s="146" t="s">
        <v>74</v>
      </c>
      <c r="J5" s="148" t="s">
        <v>12</v>
      </c>
      <c r="K5" s="148" t="s">
        <v>12</v>
      </c>
      <c r="L5" s="148" t="s">
        <v>12</v>
      </c>
      <c r="M5" s="148">
        <v>56905</v>
      </c>
      <c r="N5" s="2" t="s">
        <v>283</v>
      </c>
      <c r="O5" s="146" t="s">
        <v>117</v>
      </c>
    </row>
    <row r="6" spans="1:15" ht="81" customHeight="1" thickTop="1" thickBot="1" x14ac:dyDescent="0.35">
      <c r="A6" s="141"/>
      <c r="B6" s="149" t="s">
        <v>62</v>
      </c>
      <c r="C6" s="147" t="s">
        <v>118</v>
      </c>
      <c r="D6" s="147" t="s">
        <v>119</v>
      </c>
      <c r="E6" s="147" t="s">
        <v>351</v>
      </c>
      <c r="F6" s="40" t="s">
        <v>69</v>
      </c>
      <c r="G6" s="148">
        <v>2</v>
      </c>
      <c r="H6" s="147" t="s">
        <v>625</v>
      </c>
      <c r="I6" s="146" t="s">
        <v>74</v>
      </c>
      <c r="J6" s="147" t="s">
        <v>12</v>
      </c>
      <c r="K6" s="147" t="s">
        <v>12</v>
      </c>
      <c r="L6" s="147" t="s">
        <v>12</v>
      </c>
      <c r="M6" s="147" t="s">
        <v>477</v>
      </c>
      <c r="N6" s="2"/>
      <c r="O6" s="146" t="s">
        <v>478</v>
      </c>
    </row>
    <row r="7" spans="1:15" ht="87" customHeight="1" thickTop="1" thickBot="1" x14ac:dyDescent="0.35">
      <c r="A7" s="141"/>
      <c r="B7" s="149" t="s">
        <v>62</v>
      </c>
      <c r="C7" s="147" t="s">
        <v>118</v>
      </c>
      <c r="D7" s="147" t="s">
        <v>119</v>
      </c>
      <c r="E7" s="147" t="s">
        <v>352</v>
      </c>
      <c r="F7" s="40" t="s">
        <v>69</v>
      </c>
      <c r="G7" s="148">
        <v>2</v>
      </c>
      <c r="H7" s="148" t="s">
        <v>626</v>
      </c>
      <c r="I7" s="146" t="s">
        <v>74</v>
      </c>
      <c r="J7" s="148" t="s">
        <v>12</v>
      </c>
      <c r="K7" s="148" t="s">
        <v>12</v>
      </c>
      <c r="L7" s="148" t="s">
        <v>12</v>
      </c>
      <c r="M7" s="148" t="s">
        <v>479</v>
      </c>
      <c r="N7" s="2" t="s">
        <v>76</v>
      </c>
      <c r="O7" s="146" t="s">
        <v>121</v>
      </c>
    </row>
    <row r="8" spans="1:15" ht="111.6" thickTop="1" thickBot="1" x14ac:dyDescent="0.35">
      <c r="A8" s="141"/>
      <c r="B8" s="146" t="s">
        <v>10</v>
      </c>
      <c r="C8" s="147" t="s">
        <v>21</v>
      </c>
      <c r="D8" s="147" t="s">
        <v>122</v>
      </c>
      <c r="E8" s="147" t="s">
        <v>353</v>
      </c>
      <c r="F8" s="40" t="s">
        <v>92</v>
      </c>
      <c r="G8" s="148">
        <v>48</v>
      </c>
      <c r="H8" s="148" t="s">
        <v>480</v>
      </c>
      <c r="I8" s="146" t="s">
        <v>74</v>
      </c>
      <c r="J8" s="148" t="s">
        <v>481</v>
      </c>
      <c r="K8" s="148" t="s">
        <v>481</v>
      </c>
      <c r="L8" s="148" t="s">
        <v>481</v>
      </c>
      <c r="M8" s="148" t="s">
        <v>481</v>
      </c>
      <c r="N8" s="2" t="s">
        <v>50</v>
      </c>
      <c r="O8" s="146" t="s">
        <v>117</v>
      </c>
    </row>
    <row r="9" spans="1:15" s="39" customFormat="1" ht="96.6" customHeight="1" thickTop="1" thickBot="1" x14ac:dyDescent="0.35">
      <c r="A9" s="104" t="s">
        <v>19</v>
      </c>
      <c r="B9" s="2" t="s">
        <v>10</v>
      </c>
      <c r="C9" s="2" t="s">
        <v>123</v>
      </c>
      <c r="D9" s="2" t="s">
        <v>483</v>
      </c>
      <c r="E9" s="2" t="s">
        <v>484</v>
      </c>
      <c r="F9" s="37" t="s">
        <v>64</v>
      </c>
      <c r="G9" s="105">
        <v>43311</v>
      </c>
      <c r="H9" s="104" t="s">
        <v>486</v>
      </c>
      <c r="I9" s="2" t="s">
        <v>124</v>
      </c>
      <c r="J9" s="104" t="s">
        <v>485</v>
      </c>
      <c r="K9" s="2" t="s">
        <v>12</v>
      </c>
      <c r="L9" s="104" t="s">
        <v>12</v>
      </c>
      <c r="M9" s="2" t="s">
        <v>12</v>
      </c>
      <c r="N9" s="2" t="s">
        <v>283</v>
      </c>
      <c r="O9" s="104" t="s">
        <v>487</v>
      </c>
    </row>
    <row r="10" spans="1:15" ht="14.4" thickTop="1" x14ac:dyDescent="0.3"/>
  </sheetData>
  <mergeCells count="1">
    <mergeCell ref="A2:O2"/>
  </mergeCells>
  <pageMargins left="0.70866141732283472" right="0.70866141732283472" top="0.74803149606299213" bottom="0.74803149606299213" header="0.31496062992125984" footer="0.31496062992125984"/>
  <pageSetup paperSize="9" scale="76" fitToHeight="0" orientation="landscape" r:id="rId1"/>
  <headerFooter>
    <oddFooter>&amp;L2019/20 SDBIP&amp;CBASIC SERVICE DELIVERY KPI'S&amp;RPage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O9"/>
  <sheetViews>
    <sheetView view="pageBreakPreview" zoomScale="80" zoomScaleNormal="100" zoomScaleSheetLayoutView="80" workbookViewId="0">
      <selection activeCell="D5" sqref="D5:D8"/>
    </sheetView>
  </sheetViews>
  <sheetFormatPr defaultColWidth="8.88671875" defaultRowHeight="13.8" x14ac:dyDescent="0.3"/>
  <cols>
    <col min="1" max="1" width="5.6640625" style="3" customWidth="1"/>
    <col min="2" max="2" width="14.6640625" style="3" customWidth="1"/>
    <col min="3" max="3" width="11.5546875" style="3" customWidth="1"/>
    <col min="4" max="4" width="16.33203125" style="3" customWidth="1"/>
    <col min="5" max="5" width="14.109375" style="3" customWidth="1"/>
    <col min="6" max="7" width="8.88671875" style="3"/>
    <col min="8" max="8" width="11.5546875" style="544" customWidth="1"/>
    <col min="9" max="13" width="8.88671875" style="3"/>
    <col min="14" max="14" width="8.33203125" style="3" customWidth="1"/>
    <col min="15" max="16384" width="8.88671875" style="3"/>
  </cols>
  <sheetData>
    <row r="1" spans="1:15" s="39" customFormat="1" ht="67.2" thickTop="1" thickBot="1" x14ac:dyDescent="0.35">
      <c r="A1" s="530" t="s">
        <v>0</v>
      </c>
      <c r="B1" s="531" t="s">
        <v>2</v>
      </c>
      <c r="C1" s="531" t="s">
        <v>388</v>
      </c>
      <c r="D1" s="531" t="s">
        <v>57</v>
      </c>
      <c r="E1" s="531" t="s">
        <v>346</v>
      </c>
      <c r="F1" s="531" t="s">
        <v>58</v>
      </c>
      <c r="G1" s="530" t="s">
        <v>59</v>
      </c>
      <c r="H1" s="530" t="s">
        <v>273</v>
      </c>
      <c r="I1" s="532" t="s">
        <v>580</v>
      </c>
      <c r="J1" s="531" t="s">
        <v>581</v>
      </c>
      <c r="K1" s="531" t="s">
        <v>582</v>
      </c>
      <c r="L1" s="531" t="s">
        <v>583</v>
      </c>
      <c r="M1" s="531" t="s">
        <v>584</v>
      </c>
      <c r="N1" s="531" t="s">
        <v>60</v>
      </c>
      <c r="O1" s="531" t="s">
        <v>61</v>
      </c>
    </row>
    <row r="2" spans="1:15" s="39" customFormat="1" ht="14.4" thickTop="1" x14ac:dyDescent="0.3">
      <c r="A2" s="626" t="s">
        <v>125</v>
      </c>
      <c r="B2" s="627"/>
      <c r="C2" s="627"/>
      <c r="D2" s="627"/>
      <c r="E2" s="627"/>
      <c r="F2" s="627"/>
      <c r="G2" s="627"/>
      <c r="H2" s="627"/>
      <c r="I2" s="627"/>
      <c r="J2" s="627"/>
      <c r="K2" s="627"/>
      <c r="L2" s="627"/>
      <c r="M2" s="627"/>
      <c r="N2" s="627"/>
      <c r="O2" s="628"/>
    </row>
    <row r="3" spans="1:15" s="39" customFormat="1" x14ac:dyDescent="0.3">
      <c r="A3" s="629" t="s">
        <v>55</v>
      </c>
      <c r="B3" s="630"/>
      <c r="C3" s="630"/>
      <c r="D3" s="630"/>
      <c r="E3" s="630"/>
      <c r="F3" s="630"/>
      <c r="G3" s="630"/>
      <c r="H3" s="630"/>
      <c r="I3" s="630"/>
      <c r="J3" s="630"/>
      <c r="K3" s="630"/>
      <c r="L3" s="630"/>
      <c r="M3" s="630"/>
      <c r="N3" s="630"/>
      <c r="O3" s="631"/>
    </row>
    <row r="4" spans="1:15" s="39" customFormat="1" ht="14.4" thickBot="1" x14ac:dyDescent="0.35">
      <c r="A4" s="632" t="s">
        <v>126</v>
      </c>
      <c r="B4" s="633"/>
      <c r="C4" s="633"/>
      <c r="D4" s="633"/>
      <c r="E4" s="633"/>
      <c r="F4" s="633"/>
      <c r="G4" s="633"/>
      <c r="H4" s="633"/>
      <c r="I4" s="633"/>
      <c r="J4" s="633"/>
      <c r="K4" s="633"/>
      <c r="L4" s="633"/>
      <c r="M4" s="633"/>
      <c r="N4" s="633"/>
      <c r="O4" s="634"/>
    </row>
    <row r="5" spans="1:15" ht="45" customHeight="1" thickTop="1" thickBot="1" x14ac:dyDescent="0.35">
      <c r="A5" s="533"/>
      <c r="B5" s="534" t="s">
        <v>62</v>
      </c>
      <c r="C5" s="535" t="s">
        <v>127</v>
      </c>
      <c r="D5" s="536" t="s">
        <v>128</v>
      </c>
      <c r="E5" s="534" t="s">
        <v>356</v>
      </c>
      <c r="F5" s="534" t="s">
        <v>69</v>
      </c>
      <c r="G5" s="534" t="s">
        <v>309</v>
      </c>
      <c r="H5" s="533">
        <v>600</v>
      </c>
      <c r="I5" s="535" t="s">
        <v>65</v>
      </c>
      <c r="J5" s="533">
        <v>150</v>
      </c>
      <c r="K5" s="533">
        <v>150</v>
      </c>
      <c r="L5" s="533">
        <v>150</v>
      </c>
      <c r="M5" s="533">
        <v>150</v>
      </c>
      <c r="N5" s="535" t="s">
        <v>283</v>
      </c>
      <c r="O5" s="535" t="s">
        <v>129</v>
      </c>
    </row>
    <row r="6" spans="1:15" ht="47.4" customHeight="1" thickTop="1" thickBot="1" x14ac:dyDescent="0.35">
      <c r="A6" s="533"/>
      <c r="B6" s="534" t="s">
        <v>62</v>
      </c>
      <c r="C6" s="535" t="s">
        <v>127</v>
      </c>
      <c r="D6" s="536" t="s">
        <v>128</v>
      </c>
      <c r="E6" s="534" t="s">
        <v>357</v>
      </c>
      <c r="F6" s="534" t="s">
        <v>69</v>
      </c>
      <c r="G6" s="537" t="s">
        <v>130</v>
      </c>
      <c r="H6" s="533">
        <v>120</v>
      </c>
      <c r="I6" s="538" t="s">
        <v>65</v>
      </c>
      <c r="J6" s="533">
        <v>30</v>
      </c>
      <c r="K6" s="533">
        <v>30</v>
      </c>
      <c r="L6" s="533">
        <v>30</v>
      </c>
      <c r="M6" s="533">
        <v>30</v>
      </c>
      <c r="N6" s="535"/>
      <c r="O6" s="535" t="s">
        <v>129</v>
      </c>
    </row>
    <row r="7" spans="1:15" s="39" customFormat="1" ht="46.2" customHeight="1" thickTop="1" thickBot="1" x14ac:dyDescent="0.35">
      <c r="A7" s="539"/>
      <c r="B7" s="538" t="s">
        <v>71</v>
      </c>
      <c r="C7" s="538" t="s">
        <v>127</v>
      </c>
      <c r="D7" s="536" t="s">
        <v>128</v>
      </c>
      <c r="E7" s="538" t="s">
        <v>354</v>
      </c>
      <c r="F7" s="538" t="s">
        <v>69</v>
      </c>
      <c r="G7" s="540" t="s">
        <v>131</v>
      </c>
      <c r="H7" s="541">
        <v>12</v>
      </c>
      <c r="I7" s="538" t="s">
        <v>65</v>
      </c>
      <c r="J7" s="541">
        <v>3</v>
      </c>
      <c r="K7" s="541">
        <v>3</v>
      </c>
      <c r="L7" s="541">
        <v>3</v>
      </c>
      <c r="M7" s="541">
        <v>12</v>
      </c>
      <c r="N7" s="538" t="s">
        <v>283</v>
      </c>
      <c r="O7" s="538" t="s">
        <v>132</v>
      </c>
    </row>
    <row r="8" spans="1:15" ht="60" customHeight="1" thickTop="1" thickBot="1" x14ac:dyDescent="0.35">
      <c r="A8" s="542"/>
      <c r="B8" s="535" t="s">
        <v>71</v>
      </c>
      <c r="C8" s="535" t="s">
        <v>127</v>
      </c>
      <c r="D8" s="538" t="s">
        <v>133</v>
      </c>
      <c r="E8" s="535" t="s">
        <v>355</v>
      </c>
      <c r="F8" s="536" t="s">
        <v>69</v>
      </c>
      <c r="G8" s="536" t="s">
        <v>134</v>
      </c>
      <c r="H8" s="542">
        <v>4</v>
      </c>
      <c r="I8" s="538" t="s">
        <v>65</v>
      </c>
      <c r="J8" s="542">
        <v>1</v>
      </c>
      <c r="K8" s="542">
        <v>1</v>
      </c>
      <c r="L8" s="542">
        <v>1</v>
      </c>
      <c r="M8" s="542">
        <v>1</v>
      </c>
      <c r="N8" s="543" t="s">
        <v>285</v>
      </c>
      <c r="O8" s="536" t="s">
        <v>135</v>
      </c>
    </row>
    <row r="9" spans="1:15" ht="14.4" thickTop="1" x14ac:dyDescent="0.3"/>
  </sheetData>
  <mergeCells count="3">
    <mergeCell ref="A2:O2"/>
    <mergeCell ref="A3:O3"/>
    <mergeCell ref="A4:O4"/>
  </mergeCells>
  <pageMargins left="0.70866141732283472" right="0.70866141732283472" top="0.74803149606299213" bottom="0.74803149606299213" header="0.31496062992125984" footer="0.31496062992125984"/>
  <pageSetup paperSize="9" scale="85" fitToHeight="0" orientation="landscape" r:id="rId1"/>
  <headerFooter>
    <oddFooter>&amp;L2019/20 SDBIP&amp;CLOCAL ECONOMIC DEVELOPMENT KPI'S &amp;RPage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O27"/>
  <sheetViews>
    <sheetView view="pageBreakPreview" topLeftCell="A22" zoomScaleNormal="100" zoomScaleSheetLayoutView="100" workbookViewId="0">
      <selection activeCell="D3" sqref="D3:D26"/>
    </sheetView>
  </sheetViews>
  <sheetFormatPr defaultColWidth="8.88671875" defaultRowHeight="10.199999999999999" x14ac:dyDescent="0.2"/>
  <cols>
    <col min="1" max="1" width="4.88671875" style="453" customWidth="1"/>
    <col min="2" max="3" width="8.88671875" style="453"/>
    <col min="4" max="4" width="11.6640625" style="453" customWidth="1"/>
    <col min="5" max="5" width="13.109375" style="453" customWidth="1"/>
    <col min="6" max="6" width="8.88671875" style="453"/>
    <col min="7" max="7" width="9.5546875" style="453" bestFit="1" customWidth="1"/>
    <col min="8" max="8" width="13.88671875" style="453" customWidth="1"/>
    <col min="9" max="9" width="9.109375" style="453" bestFit="1" customWidth="1"/>
    <col min="10" max="13" width="9" style="453" bestFit="1" customWidth="1"/>
    <col min="14" max="14" width="9.33203125" style="453" customWidth="1"/>
    <col min="15" max="16384" width="8.88671875" style="453"/>
  </cols>
  <sheetData>
    <row r="1" spans="1:15" ht="42" thickTop="1" thickBot="1" x14ac:dyDescent="0.25">
      <c r="A1" s="426" t="s">
        <v>0</v>
      </c>
      <c r="B1" s="428" t="s">
        <v>2</v>
      </c>
      <c r="C1" s="428" t="s">
        <v>388</v>
      </c>
      <c r="D1" s="428" t="s">
        <v>57</v>
      </c>
      <c r="E1" s="449" t="s">
        <v>346</v>
      </c>
      <c r="F1" s="450" t="s">
        <v>58</v>
      </c>
      <c r="G1" s="428" t="s">
        <v>59</v>
      </c>
      <c r="H1" s="426" t="s">
        <v>273</v>
      </c>
      <c r="I1" s="427" t="s">
        <v>580</v>
      </c>
      <c r="J1" s="428" t="s">
        <v>581</v>
      </c>
      <c r="K1" s="428" t="s">
        <v>582</v>
      </c>
      <c r="L1" s="428" t="s">
        <v>583</v>
      </c>
      <c r="M1" s="428" t="s">
        <v>584</v>
      </c>
      <c r="N1" s="451" t="s">
        <v>60</v>
      </c>
      <c r="O1" s="452" t="s">
        <v>9</v>
      </c>
    </row>
    <row r="2" spans="1:15" ht="11.4" thickTop="1" thickBot="1" x14ac:dyDescent="0.25">
      <c r="A2" s="635" t="s">
        <v>136</v>
      </c>
      <c r="B2" s="635"/>
      <c r="C2" s="635"/>
      <c r="D2" s="635"/>
      <c r="E2" s="635"/>
      <c r="F2" s="635"/>
      <c r="G2" s="635"/>
      <c r="H2" s="635"/>
      <c r="I2" s="635"/>
      <c r="J2" s="635"/>
      <c r="K2" s="635"/>
      <c r="L2" s="635"/>
      <c r="M2" s="635"/>
      <c r="N2" s="635"/>
      <c r="O2" s="635"/>
    </row>
    <row r="3" spans="1:15" ht="52.2" thickTop="1" thickBot="1" x14ac:dyDescent="0.25">
      <c r="A3" s="454"/>
      <c r="B3" s="8" t="s">
        <v>137</v>
      </c>
      <c r="C3" s="8" t="s">
        <v>138</v>
      </c>
      <c r="D3" s="8" t="s">
        <v>139</v>
      </c>
      <c r="E3" s="8" t="s">
        <v>358</v>
      </c>
      <c r="F3" s="8" t="s">
        <v>323</v>
      </c>
      <c r="G3" s="444">
        <v>0.82</v>
      </c>
      <c r="H3" s="444">
        <v>0.95</v>
      </c>
      <c r="I3" s="455" t="s">
        <v>65</v>
      </c>
      <c r="J3" s="103">
        <v>0.95</v>
      </c>
      <c r="K3" s="103">
        <v>0.95</v>
      </c>
      <c r="L3" s="103">
        <v>0.95</v>
      </c>
      <c r="M3" s="103">
        <v>0.95</v>
      </c>
      <c r="N3" s="11" t="s">
        <v>50</v>
      </c>
      <c r="O3" s="11" t="s">
        <v>140</v>
      </c>
    </row>
    <row r="4" spans="1:15" ht="42" thickTop="1" thickBot="1" x14ac:dyDescent="0.25">
      <c r="A4" s="454"/>
      <c r="B4" s="8" t="s">
        <v>137</v>
      </c>
      <c r="C4" s="8" t="s">
        <v>138</v>
      </c>
      <c r="D4" s="8" t="s">
        <v>141</v>
      </c>
      <c r="E4" s="8" t="s">
        <v>359</v>
      </c>
      <c r="F4" s="8" t="s">
        <v>324</v>
      </c>
      <c r="G4" s="444" t="s">
        <v>120</v>
      </c>
      <c r="H4" s="8" t="s">
        <v>142</v>
      </c>
      <c r="I4" s="455" t="s">
        <v>74</v>
      </c>
      <c r="J4" s="8" t="s">
        <v>142</v>
      </c>
      <c r="K4" s="8" t="s">
        <v>142</v>
      </c>
      <c r="L4" s="8" t="s">
        <v>142</v>
      </c>
      <c r="M4" s="8" t="s">
        <v>142</v>
      </c>
      <c r="N4" s="11" t="s">
        <v>50</v>
      </c>
      <c r="O4" s="11" t="s">
        <v>140</v>
      </c>
    </row>
    <row r="5" spans="1:15" ht="52.2" thickTop="1" thickBot="1" x14ac:dyDescent="0.25">
      <c r="A5" s="454"/>
      <c r="B5" s="8" t="s">
        <v>137</v>
      </c>
      <c r="C5" s="8" t="s">
        <v>138</v>
      </c>
      <c r="D5" s="8" t="s">
        <v>143</v>
      </c>
      <c r="E5" s="8" t="s">
        <v>360</v>
      </c>
      <c r="F5" s="8" t="s">
        <v>69</v>
      </c>
      <c r="G5" s="444" t="s">
        <v>236</v>
      </c>
      <c r="H5" s="8">
        <v>4</v>
      </c>
      <c r="I5" s="455" t="s">
        <v>74</v>
      </c>
      <c r="J5" s="11">
        <v>1</v>
      </c>
      <c r="K5" s="11">
        <v>1</v>
      </c>
      <c r="L5" s="11">
        <v>1</v>
      </c>
      <c r="M5" s="11">
        <v>1</v>
      </c>
      <c r="N5" s="11" t="s">
        <v>50</v>
      </c>
      <c r="O5" s="11" t="s">
        <v>140</v>
      </c>
    </row>
    <row r="6" spans="1:15" ht="42" thickTop="1" thickBot="1" x14ac:dyDescent="0.25">
      <c r="A6" s="454"/>
      <c r="B6" s="8" t="s">
        <v>137</v>
      </c>
      <c r="C6" s="8" t="s">
        <v>144</v>
      </c>
      <c r="D6" s="8" t="s">
        <v>145</v>
      </c>
      <c r="E6" s="8" t="s">
        <v>361</v>
      </c>
      <c r="F6" s="8" t="s">
        <v>69</v>
      </c>
      <c r="G6" s="11">
        <v>2265</v>
      </c>
      <c r="H6" s="456">
        <v>1500</v>
      </c>
      <c r="I6" s="457" t="s">
        <v>74</v>
      </c>
      <c r="J6" s="456" t="s">
        <v>12</v>
      </c>
      <c r="K6" s="456" t="s">
        <v>12</v>
      </c>
      <c r="L6" s="456" t="s">
        <v>12</v>
      </c>
      <c r="M6" s="456">
        <v>1500</v>
      </c>
      <c r="N6" s="11"/>
      <c r="O6" s="11" t="s">
        <v>146</v>
      </c>
    </row>
    <row r="7" spans="1:15" ht="72.599999999999994" thickTop="1" thickBot="1" x14ac:dyDescent="0.25">
      <c r="A7" s="458"/>
      <c r="B7" s="459" t="s">
        <v>137</v>
      </c>
      <c r="C7" s="459" t="s">
        <v>147</v>
      </c>
      <c r="D7" s="459" t="s">
        <v>148</v>
      </c>
      <c r="E7" s="459" t="s">
        <v>149</v>
      </c>
      <c r="F7" s="459" t="s">
        <v>69</v>
      </c>
      <c r="G7" s="460">
        <v>4</v>
      </c>
      <c r="H7" s="460">
        <v>4</v>
      </c>
      <c r="I7" s="461" t="s">
        <v>74</v>
      </c>
      <c r="J7" s="460">
        <v>1</v>
      </c>
      <c r="K7" s="460">
        <v>1</v>
      </c>
      <c r="L7" s="460">
        <v>1</v>
      </c>
      <c r="M7" s="460">
        <v>1</v>
      </c>
      <c r="N7" s="11" t="s">
        <v>50</v>
      </c>
      <c r="O7" s="462" t="s">
        <v>150</v>
      </c>
    </row>
    <row r="8" spans="1:15" ht="72.599999999999994" thickTop="1" thickBot="1" x14ac:dyDescent="0.25">
      <c r="A8" s="458"/>
      <c r="B8" s="459" t="s">
        <v>137</v>
      </c>
      <c r="C8" s="459" t="s">
        <v>147</v>
      </c>
      <c r="D8" s="459" t="s">
        <v>151</v>
      </c>
      <c r="E8" s="459" t="s">
        <v>362</v>
      </c>
      <c r="F8" s="459" t="s">
        <v>64</v>
      </c>
      <c r="G8" s="447">
        <v>43555</v>
      </c>
      <c r="H8" s="440" t="s">
        <v>613</v>
      </c>
      <c r="I8" s="461" t="s">
        <v>74</v>
      </c>
      <c r="J8" s="440" t="s">
        <v>12</v>
      </c>
      <c r="K8" s="440" t="s">
        <v>12</v>
      </c>
      <c r="L8" s="440" t="s">
        <v>613</v>
      </c>
      <c r="M8" s="440" t="s">
        <v>614</v>
      </c>
      <c r="N8" s="11" t="s">
        <v>50</v>
      </c>
      <c r="O8" s="462" t="s">
        <v>152</v>
      </c>
    </row>
    <row r="9" spans="1:15" ht="72.599999999999994" thickTop="1" thickBot="1" x14ac:dyDescent="0.25">
      <c r="A9" s="458"/>
      <c r="B9" s="459" t="s">
        <v>137</v>
      </c>
      <c r="C9" s="459" t="s">
        <v>147</v>
      </c>
      <c r="D9" s="459" t="s">
        <v>151</v>
      </c>
      <c r="E9" s="459" t="s">
        <v>363</v>
      </c>
      <c r="F9" s="459" t="s">
        <v>64</v>
      </c>
      <c r="G9" s="440" t="s">
        <v>153</v>
      </c>
      <c r="H9" s="440" t="s">
        <v>615</v>
      </c>
      <c r="I9" s="461" t="s">
        <v>74</v>
      </c>
      <c r="J9" s="440" t="s">
        <v>12</v>
      </c>
      <c r="K9" s="440" t="s">
        <v>12</v>
      </c>
      <c r="L9" s="440" t="s">
        <v>12</v>
      </c>
      <c r="M9" s="440" t="s">
        <v>615</v>
      </c>
      <c r="N9" s="11" t="s">
        <v>50</v>
      </c>
      <c r="O9" s="462" t="s">
        <v>154</v>
      </c>
    </row>
    <row r="10" spans="1:15" ht="72.599999999999994" thickTop="1" thickBot="1" x14ac:dyDescent="0.25">
      <c r="A10" s="458"/>
      <c r="B10" s="459" t="s">
        <v>137</v>
      </c>
      <c r="C10" s="459" t="s">
        <v>147</v>
      </c>
      <c r="D10" s="459" t="s">
        <v>151</v>
      </c>
      <c r="E10" s="459" t="s">
        <v>364</v>
      </c>
      <c r="F10" s="459" t="s">
        <v>64</v>
      </c>
      <c r="G10" s="447">
        <v>43524</v>
      </c>
      <c r="H10" s="440" t="s">
        <v>616</v>
      </c>
      <c r="I10" s="461" t="s">
        <v>74</v>
      </c>
      <c r="J10" s="440" t="s">
        <v>12</v>
      </c>
      <c r="K10" s="440" t="s">
        <v>12</v>
      </c>
      <c r="L10" s="440" t="s">
        <v>616</v>
      </c>
      <c r="M10" s="440" t="s">
        <v>12</v>
      </c>
      <c r="N10" s="11" t="s">
        <v>50</v>
      </c>
      <c r="O10" s="462" t="s">
        <v>155</v>
      </c>
    </row>
    <row r="11" spans="1:15" ht="62.4" thickTop="1" thickBot="1" x14ac:dyDescent="0.25">
      <c r="A11" s="458"/>
      <c r="B11" s="459" t="s">
        <v>137</v>
      </c>
      <c r="C11" s="459" t="s">
        <v>147</v>
      </c>
      <c r="D11" s="459" t="s">
        <v>151</v>
      </c>
      <c r="E11" s="459" t="s">
        <v>365</v>
      </c>
      <c r="F11" s="459" t="s">
        <v>64</v>
      </c>
      <c r="G11" s="447">
        <v>43343</v>
      </c>
      <c r="H11" s="440" t="s">
        <v>617</v>
      </c>
      <c r="I11" s="461" t="s">
        <v>74</v>
      </c>
      <c r="J11" s="440" t="s">
        <v>617</v>
      </c>
      <c r="K11" s="440" t="s">
        <v>12</v>
      </c>
      <c r="L11" s="440" t="s">
        <v>12</v>
      </c>
      <c r="M11" s="440" t="s">
        <v>12</v>
      </c>
      <c r="N11" s="11" t="s">
        <v>50</v>
      </c>
      <c r="O11" s="462" t="s">
        <v>156</v>
      </c>
    </row>
    <row r="12" spans="1:15" ht="62.4" thickTop="1" thickBot="1" x14ac:dyDescent="0.25">
      <c r="A12" s="458"/>
      <c r="B12" s="459" t="s">
        <v>137</v>
      </c>
      <c r="C12" s="459" t="s">
        <v>147</v>
      </c>
      <c r="D12" s="459" t="s">
        <v>151</v>
      </c>
      <c r="E12" s="459" t="s">
        <v>618</v>
      </c>
      <c r="F12" s="459" t="s">
        <v>69</v>
      </c>
      <c r="G12" s="463" t="s">
        <v>619</v>
      </c>
      <c r="H12" s="463">
        <v>12</v>
      </c>
      <c r="I12" s="461" t="s">
        <v>74</v>
      </c>
      <c r="J12" s="462">
        <v>3</v>
      </c>
      <c r="K12" s="462">
        <v>3</v>
      </c>
      <c r="L12" s="462">
        <v>3</v>
      </c>
      <c r="M12" s="462">
        <v>3</v>
      </c>
      <c r="N12" s="11" t="s">
        <v>50</v>
      </c>
      <c r="O12" s="462" t="s">
        <v>157</v>
      </c>
    </row>
    <row r="13" spans="1:15" ht="62.4" thickTop="1" thickBot="1" x14ac:dyDescent="0.25">
      <c r="A13" s="458"/>
      <c r="B13" s="459" t="s">
        <v>137</v>
      </c>
      <c r="C13" s="459" t="s">
        <v>147</v>
      </c>
      <c r="D13" s="459" t="s">
        <v>151</v>
      </c>
      <c r="E13" s="459" t="s">
        <v>366</v>
      </c>
      <c r="F13" s="459" t="s">
        <v>64</v>
      </c>
      <c r="G13" s="440" t="s">
        <v>158</v>
      </c>
      <c r="H13" s="440" t="s">
        <v>620</v>
      </c>
      <c r="I13" s="461" t="s">
        <v>74</v>
      </c>
      <c r="J13" s="440" t="s">
        <v>12</v>
      </c>
      <c r="K13" s="440" t="s">
        <v>12</v>
      </c>
      <c r="L13" s="464" t="s">
        <v>159</v>
      </c>
      <c r="M13" s="440" t="s">
        <v>621</v>
      </c>
      <c r="N13" s="11" t="s">
        <v>50</v>
      </c>
      <c r="O13" s="462" t="s">
        <v>160</v>
      </c>
    </row>
    <row r="14" spans="1:15" ht="52.2" thickTop="1" thickBot="1" x14ac:dyDescent="0.25">
      <c r="A14" s="458"/>
      <c r="B14" s="459" t="s">
        <v>137</v>
      </c>
      <c r="C14" s="459" t="s">
        <v>147</v>
      </c>
      <c r="D14" s="459" t="s">
        <v>151</v>
      </c>
      <c r="E14" s="459" t="s">
        <v>326</v>
      </c>
      <c r="F14" s="459" t="s">
        <v>69</v>
      </c>
      <c r="G14" s="463" t="s">
        <v>161</v>
      </c>
      <c r="H14" s="463">
        <v>12</v>
      </c>
      <c r="I14" s="461" t="s">
        <v>162</v>
      </c>
      <c r="J14" s="465">
        <v>3</v>
      </c>
      <c r="K14" s="465">
        <v>3</v>
      </c>
      <c r="L14" s="465">
        <v>3</v>
      </c>
      <c r="M14" s="465">
        <v>3</v>
      </c>
      <c r="N14" s="11" t="s">
        <v>50</v>
      </c>
      <c r="O14" s="462" t="s">
        <v>140</v>
      </c>
    </row>
    <row r="15" spans="1:15" ht="72.599999999999994" thickTop="1" thickBot="1" x14ac:dyDescent="0.25">
      <c r="A15" s="458"/>
      <c r="B15" s="459" t="s">
        <v>137</v>
      </c>
      <c r="C15" s="459" t="s">
        <v>147</v>
      </c>
      <c r="D15" s="459" t="s">
        <v>151</v>
      </c>
      <c r="E15" s="459" t="s">
        <v>325</v>
      </c>
      <c r="F15" s="459" t="s">
        <v>64</v>
      </c>
      <c r="G15" s="464" t="s">
        <v>163</v>
      </c>
      <c r="H15" s="459" t="s">
        <v>622</v>
      </c>
      <c r="I15" s="461" t="s">
        <v>74</v>
      </c>
      <c r="J15" s="464" t="s">
        <v>488</v>
      </c>
      <c r="K15" s="464" t="s">
        <v>488</v>
      </c>
      <c r="L15" s="464" t="s">
        <v>488</v>
      </c>
      <c r="M15" s="464" t="s">
        <v>488</v>
      </c>
      <c r="N15" s="11" t="s">
        <v>50</v>
      </c>
      <c r="O15" s="462" t="s">
        <v>164</v>
      </c>
    </row>
    <row r="16" spans="1:15" ht="133.80000000000001" thickTop="1" thickBot="1" x14ac:dyDescent="0.25">
      <c r="A16" s="458"/>
      <c r="B16" s="459" t="s">
        <v>137</v>
      </c>
      <c r="C16" s="459" t="s">
        <v>165</v>
      </c>
      <c r="D16" s="459" t="s">
        <v>166</v>
      </c>
      <c r="E16" s="459" t="s">
        <v>327</v>
      </c>
      <c r="F16" s="459" t="s">
        <v>64</v>
      </c>
      <c r="G16" s="440" t="s">
        <v>623</v>
      </c>
      <c r="H16" s="440" t="s">
        <v>624</v>
      </c>
      <c r="I16" s="461" t="s">
        <v>74</v>
      </c>
      <c r="J16" s="440" t="s">
        <v>624</v>
      </c>
      <c r="K16" s="440" t="s">
        <v>12</v>
      </c>
      <c r="L16" s="440" t="s">
        <v>12</v>
      </c>
      <c r="M16" s="440" t="s">
        <v>12</v>
      </c>
      <c r="N16" s="11" t="s">
        <v>76</v>
      </c>
      <c r="O16" s="462" t="s">
        <v>167</v>
      </c>
    </row>
    <row r="17" spans="1:15" ht="72.599999999999994" thickTop="1" thickBot="1" x14ac:dyDescent="0.25">
      <c r="A17" s="458"/>
      <c r="B17" s="459" t="s">
        <v>137</v>
      </c>
      <c r="C17" s="459" t="s">
        <v>165</v>
      </c>
      <c r="D17" s="459" t="s">
        <v>168</v>
      </c>
      <c r="E17" s="459" t="s">
        <v>367</v>
      </c>
      <c r="F17" s="459" t="s">
        <v>92</v>
      </c>
      <c r="G17" s="464" t="s">
        <v>169</v>
      </c>
      <c r="H17" s="464" t="s">
        <v>169</v>
      </c>
      <c r="I17" s="461" t="s">
        <v>74</v>
      </c>
      <c r="J17" s="464" t="s">
        <v>489</v>
      </c>
      <c r="K17" s="464" t="s">
        <v>489</v>
      </c>
      <c r="L17" s="464" t="s">
        <v>489</v>
      </c>
      <c r="M17" s="464" t="s">
        <v>489</v>
      </c>
      <c r="N17" s="11" t="s">
        <v>50</v>
      </c>
      <c r="O17" s="462" t="s">
        <v>170</v>
      </c>
    </row>
    <row r="18" spans="1:15" ht="52.2" thickTop="1" thickBot="1" x14ac:dyDescent="0.25">
      <c r="A18" s="458"/>
      <c r="B18" s="459" t="s">
        <v>137</v>
      </c>
      <c r="C18" s="459" t="s">
        <v>171</v>
      </c>
      <c r="D18" s="459" t="s">
        <v>151</v>
      </c>
      <c r="E18" s="459" t="s">
        <v>328</v>
      </c>
      <c r="F18" s="459" t="s">
        <v>96</v>
      </c>
      <c r="G18" s="460">
        <v>2</v>
      </c>
      <c r="H18" s="465">
        <v>2</v>
      </c>
      <c r="I18" s="461" t="s">
        <v>74</v>
      </c>
      <c r="J18" s="465" t="s">
        <v>12</v>
      </c>
      <c r="K18" s="465">
        <v>1</v>
      </c>
      <c r="L18" s="465" t="s">
        <v>12</v>
      </c>
      <c r="M18" s="465">
        <v>1</v>
      </c>
      <c r="N18" s="11" t="s">
        <v>50</v>
      </c>
      <c r="O18" s="462" t="s">
        <v>172</v>
      </c>
    </row>
    <row r="19" spans="1:15" ht="72.599999999999994" thickTop="1" thickBot="1" x14ac:dyDescent="0.25">
      <c r="A19" s="458"/>
      <c r="B19" s="459" t="s">
        <v>137</v>
      </c>
      <c r="C19" s="459" t="s">
        <v>23</v>
      </c>
      <c r="D19" s="459" t="s">
        <v>173</v>
      </c>
      <c r="E19" s="459" t="s">
        <v>368</v>
      </c>
      <c r="F19" s="459" t="s">
        <v>329</v>
      </c>
      <c r="G19" s="440" t="s">
        <v>120</v>
      </c>
      <c r="H19" s="465" t="s">
        <v>893</v>
      </c>
      <c r="I19" s="461" t="s">
        <v>174</v>
      </c>
      <c r="J19" s="465" t="s">
        <v>894</v>
      </c>
      <c r="K19" s="465" t="s">
        <v>895</v>
      </c>
      <c r="L19" s="465" t="s">
        <v>896</v>
      </c>
      <c r="M19" s="465" t="s">
        <v>897</v>
      </c>
      <c r="N19" s="11" t="s">
        <v>482</v>
      </c>
      <c r="O19" s="462" t="s">
        <v>140</v>
      </c>
    </row>
    <row r="20" spans="1:15" ht="72.599999999999994" thickTop="1" thickBot="1" x14ac:dyDescent="0.25">
      <c r="A20" s="454"/>
      <c r="B20" s="8" t="s">
        <v>137</v>
      </c>
      <c r="C20" s="8" t="s">
        <v>144</v>
      </c>
      <c r="D20" s="8" t="s">
        <v>173</v>
      </c>
      <c r="E20" s="8" t="s">
        <v>330</v>
      </c>
      <c r="F20" s="8" t="s">
        <v>92</v>
      </c>
      <c r="G20" s="440">
        <v>1</v>
      </c>
      <c r="H20" s="103" t="s">
        <v>898</v>
      </c>
      <c r="I20" s="457" t="s">
        <v>174</v>
      </c>
      <c r="J20" s="103" t="s">
        <v>899</v>
      </c>
      <c r="K20" s="103" t="s">
        <v>900</v>
      </c>
      <c r="L20" s="103" t="s">
        <v>901</v>
      </c>
      <c r="M20" s="103" t="s">
        <v>902</v>
      </c>
      <c r="N20" s="11" t="s">
        <v>50</v>
      </c>
      <c r="O20" s="11" t="s">
        <v>140</v>
      </c>
    </row>
    <row r="21" spans="1:15" s="468" customFormat="1" ht="72.599999999999994" thickTop="1" thickBot="1" x14ac:dyDescent="0.25">
      <c r="A21" s="466"/>
      <c r="B21" s="7" t="s">
        <v>137</v>
      </c>
      <c r="C21" s="7" t="s">
        <v>144</v>
      </c>
      <c r="D21" s="7" t="s">
        <v>173</v>
      </c>
      <c r="E21" s="7" t="s">
        <v>331</v>
      </c>
      <c r="F21" s="7" t="s">
        <v>92</v>
      </c>
      <c r="G21" s="440" t="s">
        <v>120</v>
      </c>
      <c r="H21" s="440" t="s">
        <v>903</v>
      </c>
      <c r="I21" s="467" t="s">
        <v>65</v>
      </c>
      <c r="J21" s="440" t="s">
        <v>904</v>
      </c>
      <c r="K21" s="440" t="s">
        <v>905</v>
      </c>
      <c r="L21" s="440" t="s">
        <v>906</v>
      </c>
      <c r="M21" s="440" t="s">
        <v>903</v>
      </c>
      <c r="N21" s="10" t="s">
        <v>50</v>
      </c>
      <c r="O21" s="10" t="s">
        <v>140</v>
      </c>
    </row>
    <row r="22" spans="1:15" ht="72.599999999999994" thickTop="1" thickBot="1" x14ac:dyDescent="0.25">
      <c r="A22" s="454"/>
      <c r="B22" s="8" t="s">
        <v>137</v>
      </c>
      <c r="C22" s="8" t="s">
        <v>144</v>
      </c>
      <c r="D22" s="8" t="s">
        <v>173</v>
      </c>
      <c r="E22" s="8" t="s">
        <v>369</v>
      </c>
      <c r="F22" s="8" t="s">
        <v>92</v>
      </c>
      <c r="G22" s="103">
        <v>1</v>
      </c>
      <c r="H22" s="103" t="s">
        <v>907</v>
      </c>
      <c r="I22" s="457" t="s">
        <v>174</v>
      </c>
      <c r="J22" s="103" t="s">
        <v>908</v>
      </c>
      <c r="K22" s="103" t="s">
        <v>909</v>
      </c>
      <c r="L22" s="103" t="s">
        <v>910</v>
      </c>
      <c r="M22" s="103" t="s">
        <v>911</v>
      </c>
      <c r="N22" s="103" t="s">
        <v>482</v>
      </c>
      <c r="O22" s="11" t="s">
        <v>140</v>
      </c>
    </row>
    <row r="23" spans="1:15" ht="72.599999999999994" thickTop="1" thickBot="1" x14ac:dyDescent="0.25">
      <c r="A23" s="8" t="s">
        <v>137</v>
      </c>
      <c r="B23" s="8" t="s">
        <v>144</v>
      </c>
      <c r="C23" s="8" t="s">
        <v>144</v>
      </c>
      <c r="D23" s="8" t="s">
        <v>173</v>
      </c>
      <c r="E23" s="8" t="s">
        <v>370</v>
      </c>
      <c r="F23" s="103" t="s">
        <v>92</v>
      </c>
      <c r="G23" s="103">
        <v>0</v>
      </c>
      <c r="H23" s="103" t="s">
        <v>912</v>
      </c>
      <c r="I23" s="103" t="s">
        <v>174</v>
      </c>
      <c r="J23" s="103" t="s">
        <v>913</v>
      </c>
      <c r="K23" s="103" t="s">
        <v>914</v>
      </c>
      <c r="L23" s="103" t="s">
        <v>915</v>
      </c>
      <c r="M23" s="103" t="s">
        <v>916</v>
      </c>
      <c r="N23" s="103" t="s">
        <v>482</v>
      </c>
      <c r="O23" s="469" t="s">
        <v>140</v>
      </c>
    </row>
    <row r="24" spans="1:15" s="468" customFormat="1" ht="72.599999999999994" thickTop="1" thickBot="1" x14ac:dyDescent="0.25">
      <c r="A24" s="466"/>
      <c r="B24" s="7" t="s">
        <v>137</v>
      </c>
      <c r="C24" s="7" t="s">
        <v>144</v>
      </c>
      <c r="D24" s="7" t="s">
        <v>173</v>
      </c>
      <c r="E24" s="7" t="s">
        <v>371</v>
      </c>
      <c r="F24" s="7" t="s">
        <v>92</v>
      </c>
      <c r="G24" s="440" t="s">
        <v>292</v>
      </c>
      <c r="H24" s="440" t="s">
        <v>917</v>
      </c>
      <c r="I24" s="467" t="s">
        <v>74</v>
      </c>
      <c r="J24" s="440" t="s">
        <v>918</v>
      </c>
      <c r="K24" s="440" t="s">
        <v>919</v>
      </c>
      <c r="L24" s="440" t="s">
        <v>920</v>
      </c>
      <c r="M24" s="440" t="s">
        <v>921</v>
      </c>
      <c r="N24" s="10" t="s">
        <v>50</v>
      </c>
      <c r="O24" s="10" t="s">
        <v>140</v>
      </c>
    </row>
    <row r="25" spans="1:15" ht="72.599999999999994" thickTop="1" thickBot="1" x14ac:dyDescent="0.25">
      <c r="A25" s="454"/>
      <c r="B25" s="8" t="s">
        <v>137</v>
      </c>
      <c r="C25" s="8" t="s">
        <v>144</v>
      </c>
      <c r="D25" s="8" t="s">
        <v>173</v>
      </c>
      <c r="E25" s="8" t="s">
        <v>372</v>
      </c>
      <c r="F25" s="8" t="s">
        <v>92</v>
      </c>
      <c r="G25" s="103">
        <v>1</v>
      </c>
      <c r="H25" s="103" t="s">
        <v>922</v>
      </c>
      <c r="I25" s="457" t="s">
        <v>74</v>
      </c>
      <c r="J25" s="103" t="s">
        <v>923</v>
      </c>
      <c r="K25" s="103" t="s">
        <v>924</v>
      </c>
      <c r="L25" s="103" t="s">
        <v>925</v>
      </c>
      <c r="M25" s="103" t="s">
        <v>922</v>
      </c>
      <c r="N25" s="103" t="s">
        <v>482</v>
      </c>
      <c r="O25" s="11" t="s">
        <v>140</v>
      </c>
    </row>
    <row r="26" spans="1:15" s="468" customFormat="1" ht="72.599999999999994" thickTop="1" thickBot="1" x14ac:dyDescent="0.25">
      <c r="A26" s="470"/>
      <c r="B26" s="7" t="s">
        <v>137</v>
      </c>
      <c r="C26" s="7" t="s">
        <v>144</v>
      </c>
      <c r="D26" s="7" t="s">
        <v>173</v>
      </c>
      <c r="E26" s="7" t="s">
        <v>373</v>
      </c>
      <c r="F26" s="7" t="s">
        <v>92</v>
      </c>
      <c r="G26" s="440">
        <v>1.02</v>
      </c>
      <c r="H26" s="440" t="s">
        <v>926</v>
      </c>
      <c r="I26" s="467" t="s">
        <v>74</v>
      </c>
      <c r="J26" s="440" t="s">
        <v>927</v>
      </c>
      <c r="K26" s="440" t="s">
        <v>928</v>
      </c>
      <c r="L26" s="440" t="s">
        <v>929</v>
      </c>
      <c r="M26" s="440" t="s">
        <v>926</v>
      </c>
      <c r="N26" s="440" t="s">
        <v>50</v>
      </c>
      <c r="O26" s="10" t="s">
        <v>140</v>
      </c>
    </row>
    <row r="27" spans="1:15" ht="10.8" thickTop="1" x14ac:dyDescent="0.2"/>
  </sheetData>
  <mergeCells count="1">
    <mergeCell ref="A2:O2"/>
  </mergeCells>
  <pageMargins left="0.70866141732283472" right="0.70866141732283472" top="0.74803149606299213" bottom="0.74803149606299213" header="0.31496062992125984" footer="0.31496062992125984"/>
  <pageSetup paperSize="9" scale="90" fitToHeight="0" orientation="landscape" r:id="rId1"/>
  <headerFooter>
    <oddFooter>&amp;L2019/20 SDBIP&amp;CMUNICIPAL FINANCIAL VIABILITY KPI'S &amp;RPage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O17"/>
  <sheetViews>
    <sheetView view="pageBreakPreview" topLeftCell="A11" zoomScale="84" zoomScaleNormal="100" zoomScaleSheetLayoutView="84" workbookViewId="0">
      <selection activeCell="E3" sqref="E3:E16"/>
    </sheetView>
  </sheetViews>
  <sheetFormatPr defaultColWidth="8.88671875" defaultRowHeight="10.199999999999999" x14ac:dyDescent="0.2"/>
  <cols>
    <col min="1" max="1" width="4.6640625" style="477" customWidth="1"/>
    <col min="2" max="2" width="13.33203125" style="477" customWidth="1"/>
    <col min="3" max="3" width="8.88671875" style="477"/>
    <col min="4" max="4" width="12.33203125" style="477" customWidth="1"/>
    <col min="5" max="5" width="13" style="477" customWidth="1"/>
    <col min="6" max="6" width="13.33203125" style="477" customWidth="1"/>
    <col min="7" max="7" width="8.88671875" style="477"/>
    <col min="8" max="8" width="13.109375" style="477" customWidth="1"/>
    <col min="9" max="12" width="8.88671875" style="477"/>
    <col min="13" max="13" width="8.33203125" style="477" customWidth="1"/>
    <col min="14" max="14" width="10.88671875" style="477" customWidth="1"/>
    <col min="15" max="16384" width="8.88671875" style="477"/>
  </cols>
  <sheetData>
    <row r="1" spans="1:15" s="453" customFormat="1" ht="42" thickTop="1" thickBot="1" x14ac:dyDescent="0.25">
      <c r="A1" s="43" t="s">
        <v>0</v>
      </c>
      <c r="B1" s="44" t="s">
        <v>2</v>
      </c>
      <c r="C1" s="44" t="s">
        <v>176</v>
      </c>
      <c r="D1" s="44" t="s">
        <v>57</v>
      </c>
      <c r="E1" s="44" t="s">
        <v>346</v>
      </c>
      <c r="F1" s="44" t="s">
        <v>58</v>
      </c>
      <c r="G1" s="43" t="s">
        <v>177</v>
      </c>
      <c r="H1" s="43" t="s">
        <v>273</v>
      </c>
      <c r="I1" s="45" t="s">
        <v>580</v>
      </c>
      <c r="J1" s="44" t="s">
        <v>581</v>
      </c>
      <c r="K1" s="44" t="s">
        <v>582</v>
      </c>
      <c r="L1" s="44" t="s">
        <v>583</v>
      </c>
      <c r="M1" s="44" t="s">
        <v>584</v>
      </c>
      <c r="N1" s="44" t="s">
        <v>60</v>
      </c>
      <c r="O1" s="471" t="s">
        <v>9</v>
      </c>
    </row>
    <row r="2" spans="1:15" s="453" customFormat="1" ht="40.200000000000003" customHeight="1" thickTop="1" thickBot="1" x14ac:dyDescent="0.25">
      <c r="A2" s="636" t="s">
        <v>175</v>
      </c>
      <c r="B2" s="636"/>
      <c r="C2" s="636"/>
      <c r="D2" s="636"/>
      <c r="E2" s="636"/>
      <c r="F2" s="636"/>
      <c r="G2" s="636"/>
      <c r="H2" s="636"/>
      <c r="I2" s="636"/>
      <c r="J2" s="636"/>
      <c r="K2" s="636"/>
      <c r="L2" s="636"/>
      <c r="M2" s="636"/>
      <c r="N2" s="636"/>
      <c r="O2" s="472"/>
    </row>
    <row r="3" spans="1:15" ht="52.2" thickTop="1" thickBot="1" x14ac:dyDescent="0.25">
      <c r="A3" s="4"/>
      <c r="B3" s="6" t="s">
        <v>62</v>
      </c>
      <c r="C3" s="6" t="s">
        <v>178</v>
      </c>
      <c r="D3" s="7" t="s">
        <v>179</v>
      </c>
      <c r="E3" s="473" t="s">
        <v>332</v>
      </c>
      <c r="F3" s="474" t="s">
        <v>69</v>
      </c>
      <c r="G3" s="11" t="s">
        <v>180</v>
      </c>
      <c r="H3" s="456">
        <v>4</v>
      </c>
      <c r="I3" s="475" t="s">
        <v>74</v>
      </c>
      <c r="J3" s="456">
        <v>1</v>
      </c>
      <c r="K3" s="456">
        <v>1</v>
      </c>
      <c r="L3" s="456">
        <v>1</v>
      </c>
      <c r="M3" s="456">
        <v>1</v>
      </c>
      <c r="N3" s="6" t="s">
        <v>66</v>
      </c>
      <c r="O3" s="476" t="s">
        <v>181</v>
      </c>
    </row>
    <row r="4" spans="1:15" ht="52.2" thickTop="1" thickBot="1" x14ac:dyDescent="0.25">
      <c r="A4" s="478"/>
      <c r="B4" s="5" t="s">
        <v>62</v>
      </c>
      <c r="C4" s="6" t="s">
        <v>178</v>
      </c>
      <c r="D4" s="7" t="s">
        <v>182</v>
      </c>
      <c r="E4" s="5" t="s">
        <v>333</v>
      </c>
      <c r="F4" s="474" t="s">
        <v>69</v>
      </c>
      <c r="G4" s="460" t="s">
        <v>183</v>
      </c>
      <c r="H4" s="479">
        <v>4</v>
      </c>
      <c r="I4" s="480" t="s">
        <v>74</v>
      </c>
      <c r="J4" s="479">
        <v>1</v>
      </c>
      <c r="K4" s="479">
        <v>1</v>
      </c>
      <c r="L4" s="479">
        <v>1</v>
      </c>
      <c r="M4" s="479">
        <v>1</v>
      </c>
      <c r="N4" s="481" t="s">
        <v>66</v>
      </c>
      <c r="O4" s="476" t="s">
        <v>181</v>
      </c>
    </row>
    <row r="5" spans="1:15" ht="52.2" thickTop="1" thickBot="1" x14ac:dyDescent="0.25">
      <c r="A5" s="478"/>
      <c r="B5" s="5" t="s">
        <v>62</v>
      </c>
      <c r="C5" s="5" t="s">
        <v>184</v>
      </c>
      <c r="D5" s="7" t="s">
        <v>179</v>
      </c>
      <c r="E5" s="5" t="s">
        <v>374</v>
      </c>
      <c r="F5" s="474" t="s">
        <v>69</v>
      </c>
      <c r="G5" s="456" t="s">
        <v>185</v>
      </c>
      <c r="H5" s="456">
        <v>360</v>
      </c>
      <c r="I5" s="475" t="s">
        <v>74</v>
      </c>
      <c r="J5" s="456">
        <v>90</v>
      </c>
      <c r="K5" s="456">
        <v>90</v>
      </c>
      <c r="L5" s="456">
        <v>90</v>
      </c>
      <c r="M5" s="456">
        <v>90</v>
      </c>
      <c r="N5" s="481" t="s">
        <v>186</v>
      </c>
      <c r="O5" s="476" t="s">
        <v>181</v>
      </c>
    </row>
    <row r="6" spans="1:15" ht="42" thickTop="1" thickBot="1" x14ac:dyDescent="0.25">
      <c r="A6" s="478"/>
      <c r="B6" s="5" t="s">
        <v>62</v>
      </c>
      <c r="C6" s="5" t="s">
        <v>184</v>
      </c>
      <c r="D6" s="7" t="s">
        <v>187</v>
      </c>
      <c r="E6" s="5" t="s">
        <v>334</v>
      </c>
      <c r="F6" s="474" t="s">
        <v>69</v>
      </c>
      <c r="G6" s="479" t="s">
        <v>188</v>
      </c>
      <c r="H6" s="460">
        <v>12</v>
      </c>
      <c r="I6" s="480" t="s">
        <v>74</v>
      </c>
      <c r="J6" s="460">
        <v>3</v>
      </c>
      <c r="K6" s="460">
        <v>3</v>
      </c>
      <c r="L6" s="460">
        <v>3</v>
      </c>
      <c r="M6" s="460">
        <v>3</v>
      </c>
      <c r="N6" s="481"/>
      <c r="O6" s="476" t="s">
        <v>181</v>
      </c>
    </row>
    <row r="7" spans="1:15" ht="42" thickTop="1" thickBot="1" x14ac:dyDescent="0.25">
      <c r="A7" s="478"/>
      <c r="B7" s="5" t="s">
        <v>62</v>
      </c>
      <c r="C7" s="5" t="s">
        <v>189</v>
      </c>
      <c r="D7" s="7" t="s">
        <v>187</v>
      </c>
      <c r="E7" s="5" t="s">
        <v>335</v>
      </c>
      <c r="F7" s="474" t="s">
        <v>69</v>
      </c>
      <c r="G7" s="460" t="s">
        <v>190</v>
      </c>
      <c r="H7" s="460">
        <v>12</v>
      </c>
      <c r="I7" s="480" t="s">
        <v>74</v>
      </c>
      <c r="J7" s="460">
        <v>3</v>
      </c>
      <c r="K7" s="460">
        <v>3</v>
      </c>
      <c r="L7" s="460">
        <v>3</v>
      </c>
      <c r="M7" s="460">
        <v>3</v>
      </c>
      <c r="N7" s="481" t="s">
        <v>66</v>
      </c>
      <c r="O7" s="476" t="s">
        <v>181</v>
      </c>
    </row>
    <row r="8" spans="1:15" ht="52.2" thickTop="1" thickBot="1" x14ac:dyDescent="0.25">
      <c r="A8" s="478"/>
      <c r="B8" s="5" t="s">
        <v>62</v>
      </c>
      <c r="C8" s="5" t="s">
        <v>191</v>
      </c>
      <c r="D8" s="7" t="s">
        <v>192</v>
      </c>
      <c r="E8" s="5" t="s">
        <v>375</v>
      </c>
      <c r="F8" s="5" t="s">
        <v>336</v>
      </c>
      <c r="G8" s="440">
        <v>1</v>
      </c>
      <c r="H8" s="482">
        <v>1</v>
      </c>
      <c r="I8" s="480" t="s">
        <v>74</v>
      </c>
      <c r="J8" s="482">
        <v>1</v>
      </c>
      <c r="K8" s="482">
        <v>1</v>
      </c>
      <c r="L8" s="482">
        <v>1</v>
      </c>
      <c r="M8" s="482">
        <v>1</v>
      </c>
      <c r="N8" s="481" t="s">
        <v>66</v>
      </c>
      <c r="O8" s="476" t="s">
        <v>193</v>
      </c>
    </row>
    <row r="9" spans="1:15" ht="62.4" thickTop="1" thickBot="1" x14ac:dyDescent="0.25">
      <c r="A9" s="478"/>
      <c r="B9" s="5" t="s">
        <v>62</v>
      </c>
      <c r="C9" s="5" t="s">
        <v>194</v>
      </c>
      <c r="D9" s="7" t="s">
        <v>195</v>
      </c>
      <c r="E9" s="5" t="s">
        <v>337</v>
      </c>
      <c r="F9" s="5" t="s">
        <v>96</v>
      </c>
      <c r="G9" s="479" t="s">
        <v>196</v>
      </c>
      <c r="H9" s="479">
        <v>5</v>
      </c>
      <c r="I9" s="480" t="s">
        <v>74</v>
      </c>
      <c r="J9" s="479">
        <v>1</v>
      </c>
      <c r="K9" s="479">
        <v>1</v>
      </c>
      <c r="L9" s="479">
        <v>1</v>
      </c>
      <c r="M9" s="479">
        <v>2</v>
      </c>
      <c r="N9" s="483" t="s">
        <v>285</v>
      </c>
      <c r="O9" s="476" t="s">
        <v>197</v>
      </c>
    </row>
    <row r="10" spans="1:15" ht="72.599999999999994" thickTop="1" thickBot="1" x14ac:dyDescent="0.25">
      <c r="A10" s="478"/>
      <c r="B10" s="5" t="s">
        <v>62</v>
      </c>
      <c r="C10" s="5" t="s">
        <v>194</v>
      </c>
      <c r="D10" s="7" t="s">
        <v>198</v>
      </c>
      <c r="E10" s="5" t="s">
        <v>338</v>
      </c>
      <c r="F10" s="5" t="s">
        <v>96</v>
      </c>
      <c r="G10" s="479" t="s">
        <v>199</v>
      </c>
      <c r="H10" s="479">
        <v>5</v>
      </c>
      <c r="I10" s="484" t="s">
        <v>74</v>
      </c>
      <c r="J10" s="479">
        <v>1</v>
      </c>
      <c r="K10" s="479">
        <v>1</v>
      </c>
      <c r="L10" s="479">
        <v>1</v>
      </c>
      <c r="M10" s="479">
        <v>2</v>
      </c>
      <c r="N10" s="481" t="s">
        <v>285</v>
      </c>
      <c r="O10" s="476" t="s">
        <v>197</v>
      </c>
    </row>
    <row r="11" spans="1:15" ht="72.599999999999994" thickTop="1" thickBot="1" x14ac:dyDescent="0.25">
      <c r="A11" s="478"/>
      <c r="B11" s="5" t="s">
        <v>62</v>
      </c>
      <c r="C11" s="5" t="s">
        <v>194</v>
      </c>
      <c r="D11" s="7" t="s">
        <v>200</v>
      </c>
      <c r="E11" s="5" t="s">
        <v>339</v>
      </c>
      <c r="F11" s="5" t="s">
        <v>336</v>
      </c>
      <c r="G11" s="479"/>
      <c r="H11" s="479" t="s">
        <v>495</v>
      </c>
      <c r="I11" s="484" t="s">
        <v>74</v>
      </c>
      <c r="J11" s="485">
        <v>1</v>
      </c>
      <c r="K11" s="485">
        <v>1</v>
      </c>
      <c r="L11" s="485">
        <v>1</v>
      </c>
      <c r="M11" s="485">
        <v>1</v>
      </c>
      <c r="N11" s="481" t="s">
        <v>49</v>
      </c>
      <c r="O11" s="476" t="s">
        <v>201</v>
      </c>
    </row>
    <row r="12" spans="1:15" ht="52.2" thickTop="1" thickBot="1" x14ac:dyDescent="0.25">
      <c r="A12" s="478"/>
      <c r="B12" s="5" t="s">
        <v>62</v>
      </c>
      <c r="C12" s="5" t="s">
        <v>194</v>
      </c>
      <c r="D12" s="7" t="s">
        <v>202</v>
      </c>
      <c r="E12" s="5" t="s">
        <v>340</v>
      </c>
      <c r="F12" s="5" t="s">
        <v>96</v>
      </c>
      <c r="G12" s="479" t="s">
        <v>203</v>
      </c>
      <c r="H12" s="486">
        <v>4</v>
      </c>
      <c r="I12" s="484" t="s">
        <v>74</v>
      </c>
      <c r="J12" s="486">
        <v>1</v>
      </c>
      <c r="K12" s="486">
        <v>1</v>
      </c>
      <c r="L12" s="486">
        <v>1</v>
      </c>
      <c r="M12" s="486">
        <v>1</v>
      </c>
      <c r="N12" s="481" t="s">
        <v>186</v>
      </c>
      <c r="O12" s="476" t="s">
        <v>197</v>
      </c>
    </row>
    <row r="13" spans="1:15" ht="52.2" thickTop="1" thickBot="1" x14ac:dyDescent="0.25">
      <c r="A13" s="478"/>
      <c r="B13" s="5" t="s">
        <v>62</v>
      </c>
      <c r="C13" s="5" t="s">
        <v>184</v>
      </c>
      <c r="D13" s="7" t="s">
        <v>204</v>
      </c>
      <c r="E13" s="5" t="s">
        <v>341</v>
      </c>
      <c r="F13" s="5" t="s">
        <v>205</v>
      </c>
      <c r="G13" s="479" t="s">
        <v>206</v>
      </c>
      <c r="H13" s="479">
        <v>4</v>
      </c>
      <c r="I13" s="7" t="s">
        <v>74</v>
      </c>
      <c r="J13" s="10">
        <v>1</v>
      </c>
      <c r="K13" s="10">
        <v>1</v>
      </c>
      <c r="L13" s="10">
        <v>1</v>
      </c>
      <c r="M13" s="10">
        <v>1</v>
      </c>
      <c r="N13" s="481" t="s">
        <v>76</v>
      </c>
      <c r="O13" s="5" t="s">
        <v>207</v>
      </c>
    </row>
    <row r="14" spans="1:15" ht="72.599999999999994" thickTop="1" thickBot="1" x14ac:dyDescent="0.25">
      <c r="A14" s="478"/>
      <c r="B14" s="5" t="s">
        <v>62</v>
      </c>
      <c r="C14" s="5" t="s">
        <v>184</v>
      </c>
      <c r="D14" s="7" t="s">
        <v>204</v>
      </c>
      <c r="E14" s="5" t="s">
        <v>376</v>
      </c>
      <c r="F14" s="5" t="s">
        <v>92</v>
      </c>
      <c r="G14" s="479" t="s">
        <v>120</v>
      </c>
      <c r="H14" s="479" t="s">
        <v>490</v>
      </c>
      <c r="I14" s="7" t="s">
        <v>74</v>
      </c>
      <c r="J14" s="485">
        <v>1</v>
      </c>
      <c r="K14" s="485">
        <v>1</v>
      </c>
      <c r="L14" s="485">
        <v>1</v>
      </c>
      <c r="M14" s="485">
        <v>1</v>
      </c>
      <c r="N14" s="481" t="s">
        <v>76</v>
      </c>
      <c r="O14" s="5" t="s">
        <v>208</v>
      </c>
    </row>
    <row r="15" spans="1:15" ht="52.2" thickTop="1" thickBot="1" x14ac:dyDescent="0.25">
      <c r="A15" s="478"/>
      <c r="B15" s="5" t="s">
        <v>62</v>
      </c>
      <c r="C15" s="5" t="s">
        <v>209</v>
      </c>
      <c r="D15" s="7" t="s">
        <v>210</v>
      </c>
      <c r="E15" s="5" t="s">
        <v>377</v>
      </c>
      <c r="F15" s="5" t="s">
        <v>69</v>
      </c>
      <c r="G15" s="479" t="s">
        <v>211</v>
      </c>
      <c r="H15" s="487" t="s">
        <v>212</v>
      </c>
      <c r="I15" s="480" t="s">
        <v>74</v>
      </c>
      <c r="J15" s="485" t="s">
        <v>12</v>
      </c>
      <c r="K15" s="485" t="s">
        <v>12</v>
      </c>
      <c r="L15" s="479" t="s">
        <v>12</v>
      </c>
      <c r="M15" s="487" t="s">
        <v>212</v>
      </c>
      <c r="N15" s="481" t="s">
        <v>76</v>
      </c>
      <c r="O15" s="5" t="s">
        <v>212</v>
      </c>
    </row>
    <row r="16" spans="1:15" ht="103.2" thickTop="1" thickBot="1" x14ac:dyDescent="0.25">
      <c r="A16" s="478"/>
      <c r="B16" s="5" t="s">
        <v>62</v>
      </c>
      <c r="C16" s="5" t="s">
        <v>118</v>
      </c>
      <c r="D16" s="7" t="s">
        <v>213</v>
      </c>
      <c r="E16" s="5" t="s">
        <v>342</v>
      </c>
      <c r="F16" s="5" t="s">
        <v>343</v>
      </c>
      <c r="G16" s="479" t="s">
        <v>120</v>
      </c>
      <c r="H16" s="485" t="s">
        <v>214</v>
      </c>
      <c r="I16" s="480"/>
      <c r="J16" s="485" t="s">
        <v>215</v>
      </c>
      <c r="K16" s="485" t="s">
        <v>215</v>
      </c>
      <c r="L16" s="485" t="s">
        <v>215</v>
      </c>
      <c r="M16" s="485" t="s">
        <v>215</v>
      </c>
      <c r="N16" s="481" t="s">
        <v>49</v>
      </c>
      <c r="O16" s="5" t="s">
        <v>216</v>
      </c>
    </row>
    <row r="17" ht="10.8" thickTop="1" x14ac:dyDescent="0.2"/>
  </sheetData>
  <mergeCells count="1">
    <mergeCell ref="A2:N2"/>
  </mergeCells>
  <pageMargins left="0.70866141732283472" right="0.70866141732283472" top="0.74803149606299213" bottom="0.74803149606299213" header="0.31496062992125984" footer="0.31496062992125984"/>
  <pageSetup paperSize="9" scale="86" fitToHeight="0" orientation="landscape" r:id="rId1"/>
  <headerFooter>
    <oddFooter>&amp;L2019/20 SDBIP&amp;CGOOD GOVERNANCE AND PUBLIC PARTICIPATION KPI's&amp;RPage &amp;P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55"/>
  <sheetViews>
    <sheetView view="pageBreakPreview" zoomScale="60" zoomScaleNormal="100" workbookViewId="0">
      <selection sqref="A1:XFD1048576"/>
    </sheetView>
  </sheetViews>
  <sheetFormatPr defaultColWidth="8.88671875" defaultRowHeight="13.8" x14ac:dyDescent="0.3"/>
  <cols>
    <col min="1" max="1" width="13.33203125" style="138" customWidth="1"/>
    <col min="2" max="2" width="15.5546875" style="39" customWidth="1"/>
    <col min="3" max="3" width="30.6640625" style="133" customWidth="1"/>
    <col min="4" max="4" width="12" style="39" customWidth="1"/>
    <col min="5" max="5" width="18.33203125" style="39" customWidth="1"/>
    <col min="6" max="6" width="18.44140625" style="39" customWidth="1"/>
    <col min="7" max="7" width="20.6640625" style="39" customWidth="1"/>
    <col min="8" max="16384" width="8.88671875" style="39"/>
  </cols>
  <sheetData>
    <row r="1" spans="1:7" ht="15" thickTop="1" thickBot="1" x14ac:dyDescent="0.35">
      <c r="A1" s="637" t="s">
        <v>611</v>
      </c>
      <c r="B1" s="637"/>
      <c r="C1" s="637"/>
      <c r="D1" s="637"/>
      <c r="E1" s="637"/>
      <c r="F1" s="637"/>
      <c r="G1" s="637"/>
    </row>
    <row r="2" spans="1:7" ht="13.95" customHeight="1" thickTop="1" thickBot="1" x14ac:dyDescent="0.35">
      <c r="A2" s="136"/>
      <c r="B2" s="556"/>
      <c r="C2" s="556"/>
      <c r="D2" s="556"/>
      <c r="E2" s="638" t="s">
        <v>458</v>
      </c>
      <c r="F2" s="639"/>
      <c r="G2" s="639"/>
    </row>
    <row r="3" spans="1:7" ht="28.8" thickTop="1" thickBot="1" x14ac:dyDescent="0.35">
      <c r="A3" s="557" t="s">
        <v>464</v>
      </c>
      <c r="B3" s="558" t="s">
        <v>3</v>
      </c>
      <c r="C3" s="558" t="s">
        <v>4</v>
      </c>
      <c r="D3" s="559" t="s">
        <v>8</v>
      </c>
      <c r="E3" s="561" t="s">
        <v>312</v>
      </c>
      <c r="F3" s="564" t="s">
        <v>452</v>
      </c>
      <c r="G3" s="564" t="s">
        <v>612</v>
      </c>
    </row>
    <row r="4" spans="1:7" ht="15" thickTop="1" thickBot="1" x14ac:dyDescent="0.35">
      <c r="A4" s="135" t="s">
        <v>953</v>
      </c>
      <c r="B4" s="562" t="s">
        <v>954</v>
      </c>
      <c r="C4" s="563" t="s">
        <v>952</v>
      </c>
      <c r="D4" s="559" t="s">
        <v>11</v>
      </c>
      <c r="E4" s="565">
        <v>526000</v>
      </c>
      <c r="F4" s="566">
        <v>554404</v>
      </c>
      <c r="G4" s="566">
        <v>584342</v>
      </c>
    </row>
    <row r="5" spans="1:7" ht="27.6" thickTop="1" thickBot="1" x14ac:dyDescent="0.35">
      <c r="A5" s="135">
        <v>6</v>
      </c>
      <c r="B5" s="130" t="s">
        <v>277</v>
      </c>
      <c r="C5" s="125" t="s">
        <v>288</v>
      </c>
      <c r="D5" s="126" t="s">
        <v>11</v>
      </c>
      <c r="E5" s="567">
        <v>600000</v>
      </c>
      <c r="F5" s="567">
        <v>6000000</v>
      </c>
      <c r="G5" s="567">
        <v>6000000</v>
      </c>
    </row>
    <row r="6" spans="1:7" ht="27.6" thickTop="1" thickBot="1" x14ac:dyDescent="0.35">
      <c r="A6" s="135">
        <v>14</v>
      </c>
      <c r="B6" s="130" t="s">
        <v>277</v>
      </c>
      <c r="C6" s="125" t="s">
        <v>279</v>
      </c>
      <c r="D6" s="126" t="s">
        <v>11</v>
      </c>
      <c r="E6" s="567">
        <v>800000</v>
      </c>
      <c r="F6" s="567">
        <v>6000000</v>
      </c>
      <c r="G6" s="567">
        <v>9454525.1400000006</v>
      </c>
    </row>
    <row r="7" spans="1:7" ht="27.6" thickTop="1" thickBot="1" x14ac:dyDescent="0.35">
      <c r="A7" s="135">
        <v>2</v>
      </c>
      <c r="B7" s="130" t="s">
        <v>277</v>
      </c>
      <c r="C7" s="125" t="s">
        <v>281</v>
      </c>
      <c r="D7" s="126" t="s">
        <v>11</v>
      </c>
      <c r="E7" s="567">
        <v>600000</v>
      </c>
      <c r="F7" s="567">
        <v>6000000</v>
      </c>
      <c r="G7" s="567">
        <v>6000000</v>
      </c>
    </row>
    <row r="8" spans="1:7" ht="27.6" thickTop="1" thickBot="1" x14ac:dyDescent="0.35">
      <c r="A8" s="135">
        <v>26</v>
      </c>
      <c r="B8" s="130" t="s">
        <v>277</v>
      </c>
      <c r="C8" s="130" t="s">
        <v>459</v>
      </c>
      <c r="D8" s="126" t="s">
        <v>289</v>
      </c>
      <c r="E8" s="568">
        <v>9861763.7899999991</v>
      </c>
      <c r="F8" s="567">
        <v>14002125.25</v>
      </c>
      <c r="G8" s="567">
        <v>6113110.96</v>
      </c>
    </row>
    <row r="9" spans="1:7" ht="27.6" thickTop="1" thickBot="1" x14ac:dyDescent="0.35">
      <c r="A9" s="135">
        <v>7</v>
      </c>
      <c r="B9" s="130" t="s">
        <v>277</v>
      </c>
      <c r="C9" s="125" t="s">
        <v>280</v>
      </c>
      <c r="D9" s="126" t="s">
        <v>11</v>
      </c>
      <c r="E9" s="567">
        <v>3000000</v>
      </c>
      <c r="F9" s="567">
        <v>10000000</v>
      </c>
      <c r="G9" s="567">
        <v>3000000</v>
      </c>
    </row>
    <row r="10" spans="1:7" ht="27.6" thickTop="1" thickBot="1" x14ac:dyDescent="0.35">
      <c r="A10" s="135">
        <v>1</v>
      </c>
      <c r="B10" s="130" t="s">
        <v>277</v>
      </c>
      <c r="C10" s="125" t="s">
        <v>278</v>
      </c>
      <c r="D10" s="126" t="s">
        <v>11</v>
      </c>
      <c r="E10" s="567">
        <v>7000000</v>
      </c>
      <c r="F10" s="567">
        <v>8000000</v>
      </c>
      <c r="G10" s="567"/>
    </row>
    <row r="11" spans="1:7" ht="27.6" thickTop="1" thickBot="1" x14ac:dyDescent="0.35">
      <c r="A11" s="135">
        <v>4</v>
      </c>
      <c r="B11" s="130" t="s">
        <v>277</v>
      </c>
      <c r="C11" s="125" t="s">
        <v>282</v>
      </c>
      <c r="D11" s="126" t="s">
        <v>11</v>
      </c>
      <c r="E11" s="567">
        <v>8000000</v>
      </c>
      <c r="F11" s="567"/>
      <c r="G11" s="567"/>
    </row>
    <row r="12" spans="1:7" ht="28.8" thickTop="1" thickBot="1" x14ac:dyDescent="0.35">
      <c r="A12" s="135" t="s">
        <v>494</v>
      </c>
      <c r="B12" s="130" t="s">
        <v>277</v>
      </c>
      <c r="C12" s="129" t="s">
        <v>275</v>
      </c>
      <c r="D12" s="126" t="s">
        <v>11</v>
      </c>
      <c r="E12" s="568">
        <v>3000000</v>
      </c>
      <c r="F12" s="567">
        <v>3500000</v>
      </c>
      <c r="G12" s="567">
        <v>8503289.6699999999</v>
      </c>
    </row>
    <row r="13" spans="1:7" ht="15" thickTop="1" thickBot="1" x14ac:dyDescent="0.35">
      <c r="A13" s="134" t="s">
        <v>19</v>
      </c>
      <c r="B13" s="124" t="s">
        <v>21</v>
      </c>
      <c r="C13" s="131" t="s">
        <v>267</v>
      </c>
      <c r="D13" s="126" t="s">
        <v>11</v>
      </c>
      <c r="E13" s="568">
        <v>5983000</v>
      </c>
      <c r="F13" s="568">
        <v>10635000</v>
      </c>
      <c r="G13" s="568">
        <v>12500000</v>
      </c>
    </row>
    <row r="14" spans="1:7" ht="28.8" thickTop="1" thickBot="1" x14ac:dyDescent="0.35">
      <c r="A14" s="134">
        <v>27</v>
      </c>
      <c r="B14" s="124" t="s">
        <v>13</v>
      </c>
      <c r="C14" s="125" t="s">
        <v>14</v>
      </c>
      <c r="D14" s="126" t="s">
        <v>11</v>
      </c>
      <c r="E14" s="568">
        <v>13050771</v>
      </c>
      <c r="F14" s="568">
        <v>13902226.35</v>
      </c>
      <c r="G14" s="568"/>
    </row>
    <row r="15" spans="1:7" ht="28.8" thickTop="1" thickBot="1" x14ac:dyDescent="0.35">
      <c r="A15" s="134">
        <v>16</v>
      </c>
      <c r="B15" s="124" t="s">
        <v>13</v>
      </c>
      <c r="C15" s="125" t="s">
        <v>16</v>
      </c>
      <c r="D15" s="126" t="s">
        <v>11</v>
      </c>
      <c r="E15" s="568">
        <v>11884802</v>
      </c>
      <c r="F15" s="568">
        <v>10000000</v>
      </c>
      <c r="G15" s="568"/>
    </row>
    <row r="16" spans="1:7" ht="28.8" thickTop="1" thickBot="1" x14ac:dyDescent="0.35">
      <c r="A16" s="134">
        <v>25</v>
      </c>
      <c r="B16" s="124" t="s">
        <v>28</v>
      </c>
      <c r="C16" s="125" t="s">
        <v>460</v>
      </c>
      <c r="D16" s="126" t="s">
        <v>11</v>
      </c>
      <c r="E16" s="568"/>
      <c r="F16" s="568">
        <v>2000000</v>
      </c>
      <c r="G16" s="568">
        <v>1500000</v>
      </c>
    </row>
    <row r="17" spans="1:7" ht="28.8" thickTop="1" thickBot="1" x14ac:dyDescent="0.35">
      <c r="A17" s="134">
        <v>5</v>
      </c>
      <c r="B17" s="124" t="s">
        <v>28</v>
      </c>
      <c r="C17" s="125" t="s">
        <v>27</v>
      </c>
      <c r="D17" s="126" t="s">
        <v>11</v>
      </c>
      <c r="E17" s="568">
        <v>600000</v>
      </c>
      <c r="F17" s="568">
        <v>3100000</v>
      </c>
      <c r="G17" s="568">
        <v>3900000</v>
      </c>
    </row>
    <row r="18" spans="1:7" ht="56.4" thickTop="1" thickBot="1" x14ac:dyDescent="0.35">
      <c r="A18" s="135" t="s">
        <v>844</v>
      </c>
      <c r="B18" s="124" t="s">
        <v>21</v>
      </c>
      <c r="C18" s="124" t="s">
        <v>703</v>
      </c>
      <c r="D18" s="126" t="s">
        <v>11</v>
      </c>
      <c r="E18" s="568">
        <v>3300000</v>
      </c>
      <c r="F18" s="568">
        <v>2500000</v>
      </c>
      <c r="G18" s="568">
        <v>10491920.18</v>
      </c>
    </row>
    <row r="19" spans="1:7" ht="28.8" thickTop="1" thickBot="1" x14ac:dyDescent="0.35">
      <c r="A19" s="560" t="s">
        <v>953</v>
      </c>
      <c r="B19" s="124" t="s">
        <v>18</v>
      </c>
      <c r="C19" s="125" t="s">
        <v>276</v>
      </c>
      <c r="D19" s="126" t="s">
        <v>11</v>
      </c>
      <c r="E19" s="568">
        <v>2980000</v>
      </c>
      <c r="F19" s="568">
        <v>3326363.95</v>
      </c>
      <c r="G19" s="568">
        <v>15508297.939999999</v>
      </c>
    </row>
    <row r="20" spans="1:7" ht="28.8" thickTop="1" thickBot="1" x14ac:dyDescent="0.35">
      <c r="A20" s="560" t="s">
        <v>775</v>
      </c>
      <c r="B20" s="124" t="s">
        <v>18</v>
      </c>
      <c r="C20" s="125" t="s">
        <v>955</v>
      </c>
      <c r="D20" s="126" t="s">
        <v>11</v>
      </c>
      <c r="E20" s="568">
        <v>3000000</v>
      </c>
      <c r="F20" s="568"/>
      <c r="G20" s="568">
        <v>4200000</v>
      </c>
    </row>
    <row r="21" spans="1:7" ht="28.8" thickTop="1" thickBot="1" x14ac:dyDescent="0.35">
      <c r="A21" s="560">
        <v>6</v>
      </c>
      <c r="B21" s="124" t="s">
        <v>18</v>
      </c>
      <c r="C21" s="125" t="s">
        <v>845</v>
      </c>
      <c r="D21" s="126" t="s">
        <v>11</v>
      </c>
      <c r="E21" s="568">
        <v>3000000</v>
      </c>
      <c r="F21" s="568">
        <v>10000000</v>
      </c>
      <c r="G21" s="568">
        <v>3000000</v>
      </c>
    </row>
    <row r="22" spans="1:7" ht="28.8" thickTop="1" thickBot="1" x14ac:dyDescent="0.35">
      <c r="A22" s="134">
        <v>14</v>
      </c>
      <c r="B22" s="124" t="s">
        <v>28</v>
      </c>
      <c r="C22" s="125" t="s">
        <v>461</v>
      </c>
      <c r="D22" s="126" t="s">
        <v>11</v>
      </c>
      <c r="E22" s="568">
        <v>3600000</v>
      </c>
      <c r="F22" s="568">
        <v>8454525.1400000006</v>
      </c>
      <c r="G22" s="568">
        <v>4000000</v>
      </c>
    </row>
    <row r="23" spans="1:7" ht="27.6" thickTop="1" thickBot="1" x14ac:dyDescent="0.35">
      <c r="A23" s="135">
        <v>12</v>
      </c>
      <c r="B23" s="130" t="s">
        <v>277</v>
      </c>
      <c r="C23" s="125" t="s">
        <v>237</v>
      </c>
      <c r="D23" s="126" t="s">
        <v>11</v>
      </c>
      <c r="E23" s="567">
        <v>7178993.7800000003</v>
      </c>
      <c r="F23" s="567">
        <v>7644260.6100000003</v>
      </c>
      <c r="G23" s="567"/>
    </row>
    <row r="24" spans="1:7" ht="27.6" thickTop="1" thickBot="1" x14ac:dyDescent="0.35">
      <c r="A24" s="135">
        <v>14</v>
      </c>
      <c r="B24" s="130" t="s">
        <v>277</v>
      </c>
      <c r="C24" s="125" t="s">
        <v>958</v>
      </c>
      <c r="D24" s="126" t="s">
        <v>11</v>
      </c>
      <c r="E24" s="567">
        <v>3600000</v>
      </c>
      <c r="F24" s="567">
        <v>8454525.1400000006</v>
      </c>
      <c r="G24" s="567">
        <v>4000000</v>
      </c>
    </row>
    <row r="25" spans="1:7" ht="27.6" thickTop="1" thickBot="1" x14ac:dyDescent="0.35">
      <c r="A25" s="135">
        <v>24</v>
      </c>
      <c r="B25" s="130" t="s">
        <v>277</v>
      </c>
      <c r="C25" s="130" t="s">
        <v>957</v>
      </c>
      <c r="D25" s="126" t="s">
        <v>11</v>
      </c>
      <c r="E25" s="567"/>
      <c r="F25" s="567">
        <v>400000</v>
      </c>
      <c r="G25" s="567">
        <v>15700000</v>
      </c>
    </row>
    <row r="26" spans="1:7" ht="27.6" thickTop="1" thickBot="1" x14ac:dyDescent="0.35">
      <c r="A26" s="135">
        <v>4</v>
      </c>
      <c r="B26" s="130" t="s">
        <v>277</v>
      </c>
      <c r="C26" s="130" t="s">
        <v>847</v>
      </c>
      <c r="D26" s="126" t="s">
        <v>11</v>
      </c>
      <c r="E26" s="567">
        <v>300000</v>
      </c>
      <c r="F26" s="567">
        <v>12332072</v>
      </c>
      <c r="G26" s="567">
        <v>4000000</v>
      </c>
    </row>
    <row r="27" spans="1:7" ht="27.6" thickTop="1" thickBot="1" x14ac:dyDescent="0.35">
      <c r="A27" s="135">
        <v>6</v>
      </c>
      <c r="B27" s="130" t="s">
        <v>277</v>
      </c>
      <c r="C27" s="125" t="s">
        <v>463</v>
      </c>
      <c r="D27" s="126" t="s">
        <v>11</v>
      </c>
      <c r="E27" s="567">
        <v>300000</v>
      </c>
      <c r="F27" s="567">
        <v>12332072</v>
      </c>
      <c r="G27" s="567">
        <v>4000000</v>
      </c>
    </row>
    <row r="28" spans="1:7" ht="27.6" thickTop="1" thickBot="1" x14ac:dyDescent="0.35">
      <c r="A28" s="135">
        <v>5</v>
      </c>
      <c r="B28" s="130" t="s">
        <v>277</v>
      </c>
      <c r="C28" s="125" t="s">
        <v>848</v>
      </c>
      <c r="D28" s="126" t="s">
        <v>11</v>
      </c>
      <c r="E28" s="567">
        <v>400000</v>
      </c>
      <c r="F28" s="567">
        <v>2500000</v>
      </c>
      <c r="G28" s="567">
        <v>7500000</v>
      </c>
    </row>
    <row r="29" spans="1:7" ht="27.6" thickTop="1" thickBot="1" x14ac:dyDescent="0.35">
      <c r="A29" s="135">
        <v>9</v>
      </c>
      <c r="B29" s="130" t="s">
        <v>277</v>
      </c>
      <c r="C29" s="125" t="s">
        <v>849</v>
      </c>
      <c r="D29" s="126" t="s">
        <v>11</v>
      </c>
      <c r="E29" s="567">
        <v>400000</v>
      </c>
      <c r="F29" s="567">
        <v>2500000</v>
      </c>
      <c r="G29" s="567">
        <v>75000000</v>
      </c>
    </row>
    <row r="30" spans="1:7" ht="27.6" thickTop="1" thickBot="1" x14ac:dyDescent="0.35">
      <c r="A30" s="135">
        <v>13</v>
      </c>
      <c r="B30" s="130" t="s">
        <v>277</v>
      </c>
      <c r="C30" s="125" t="s">
        <v>850</v>
      </c>
      <c r="D30" s="126" t="s">
        <v>11</v>
      </c>
      <c r="E30" s="567">
        <v>400000</v>
      </c>
      <c r="F30" s="567">
        <v>2500000</v>
      </c>
      <c r="G30" s="567">
        <v>7500000</v>
      </c>
    </row>
    <row r="31" spans="1:7" ht="27.6" thickTop="1" thickBot="1" x14ac:dyDescent="0.35">
      <c r="A31" s="135">
        <v>15</v>
      </c>
      <c r="B31" s="130" t="s">
        <v>277</v>
      </c>
      <c r="C31" s="125" t="s">
        <v>851</v>
      </c>
      <c r="D31" s="126" t="s">
        <v>11</v>
      </c>
      <c r="E31" s="567">
        <v>400000</v>
      </c>
      <c r="F31" s="567">
        <v>2500000</v>
      </c>
      <c r="G31" s="567">
        <v>7500000</v>
      </c>
    </row>
    <row r="32" spans="1:7" ht="27.6" thickTop="1" thickBot="1" x14ac:dyDescent="0.35">
      <c r="A32" s="135">
        <v>23</v>
      </c>
      <c r="B32" s="130" t="s">
        <v>277</v>
      </c>
      <c r="C32" s="125" t="s">
        <v>852</v>
      </c>
      <c r="D32" s="126" t="s">
        <v>11</v>
      </c>
      <c r="E32" s="567">
        <v>400000</v>
      </c>
      <c r="F32" s="567">
        <v>2500000</v>
      </c>
      <c r="G32" s="567">
        <v>7500000</v>
      </c>
    </row>
    <row r="33" spans="1:7" ht="27.6" thickTop="1" thickBot="1" x14ac:dyDescent="0.35">
      <c r="A33" s="135">
        <v>7</v>
      </c>
      <c r="B33" s="130" t="s">
        <v>277</v>
      </c>
      <c r="C33" s="125" t="s">
        <v>853</v>
      </c>
      <c r="D33" s="126" t="s">
        <v>11</v>
      </c>
      <c r="E33" s="567">
        <v>400000</v>
      </c>
      <c r="F33" s="567">
        <v>2500000</v>
      </c>
      <c r="G33" s="567">
        <v>7500000</v>
      </c>
    </row>
    <row r="34" spans="1:7" ht="27.6" thickTop="1" thickBot="1" x14ac:dyDescent="0.35">
      <c r="A34" s="135">
        <v>29</v>
      </c>
      <c r="B34" s="130" t="s">
        <v>277</v>
      </c>
      <c r="C34" s="125" t="s">
        <v>855</v>
      </c>
      <c r="D34" s="126" t="s">
        <v>11</v>
      </c>
      <c r="E34" s="567">
        <v>400000</v>
      </c>
      <c r="F34" s="567">
        <v>250000</v>
      </c>
      <c r="G34" s="567">
        <v>7500000</v>
      </c>
    </row>
    <row r="35" spans="1:7" ht="27.6" thickTop="1" thickBot="1" x14ac:dyDescent="0.35">
      <c r="A35" s="135">
        <v>16</v>
      </c>
      <c r="B35" s="130" t="s">
        <v>277</v>
      </c>
      <c r="C35" s="125" t="s">
        <v>854</v>
      </c>
      <c r="D35" s="126" t="s">
        <v>11</v>
      </c>
      <c r="E35" s="567">
        <v>400000</v>
      </c>
      <c r="F35" s="567">
        <v>2500000</v>
      </c>
      <c r="G35" s="567">
        <v>7500000</v>
      </c>
    </row>
    <row r="36" spans="1:7" ht="27.6" thickTop="1" thickBot="1" x14ac:dyDescent="0.35">
      <c r="A36" s="135">
        <v>19</v>
      </c>
      <c r="B36" s="130" t="s">
        <v>277</v>
      </c>
      <c r="C36" s="125" t="s">
        <v>856</v>
      </c>
      <c r="D36" s="126" t="s">
        <v>11</v>
      </c>
      <c r="E36" s="567">
        <v>400000</v>
      </c>
      <c r="F36" s="567">
        <v>6600000</v>
      </c>
      <c r="G36" s="567">
        <v>4500000</v>
      </c>
    </row>
    <row r="37" spans="1:7" ht="27.6" thickTop="1" thickBot="1" x14ac:dyDescent="0.35">
      <c r="A37" s="135">
        <v>21</v>
      </c>
      <c r="B37" s="130" t="s">
        <v>277</v>
      </c>
      <c r="C37" s="125" t="s">
        <v>956</v>
      </c>
      <c r="D37" s="126" t="s">
        <v>11</v>
      </c>
      <c r="E37" s="567">
        <v>400000</v>
      </c>
      <c r="F37" s="567">
        <v>2500000</v>
      </c>
      <c r="G37" s="567">
        <v>7500000</v>
      </c>
    </row>
    <row r="38" spans="1:7" ht="27.6" thickTop="1" thickBot="1" x14ac:dyDescent="0.35">
      <c r="A38" s="135">
        <v>2</v>
      </c>
      <c r="B38" s="130" t="s">
        <v>277</v>
      </c>
      <c r="C38" s="125" t="s">
        <v>857</v>
      </c>
      <c r="D38" s="126" t="s">
        <v>11</v>
      </c>
      <c r="E38" s="567">
        <v>400000</v>
      </c>
      <c r="F38" s="567">
        <v>6600000</v>
      </c>
      <c r="G38" s="567">
        <v>4500000</v>
      </c>
    </row>
    <row r="39" spans="1:7" ht="28.8" thickTop="1" thickBot="1" x14ac:dyDescent="0.35">
      <c r="A39" s="134">
        <v>27</v>
      </c>
      <c r="B39" s="124" t="s">
        <v>28</v>
      </c>
      <c r="C39" s="125" t="s">
        <v>462</v>
      </c>
      <c r="D39" s="126" t="s">
        <v>11</v>
      </c>
      <c r="E39" s="568">
        <v>600000</v>
      </c>
      <c r="F39" s="568">
        <v>5700000</v>
      </c>
      <c r="G39" s="568">
        <v>1500000</v>
      </c>
    </row>
    <row r="40" spans="1:7" ht="28.8" thickTop="1" thickBot="1" x14ac:dyDescent="0.35">
      <c r="A40" s="134">
        <v>16</v>
      </c>
      <c r="B40" s="124" t="s">
        <v>28</v>
      </c>
      <c r="C40" s="125" t="s">
        <v>26</v>
      </c>
      <c r="D40" s="126" t="s">
        <v>11</v>
      </c>
      <c r="E40" s="568">
        <v>500000</v>
      </c>
      <c r="F40" s="568">
        <v>3000000</v>
      </c>
      <c r="G40" s="568">
        <v>4500000</v>
      </c>
    </row>
    <row r="41" spans="1:7" s="137" customFormat="1" ht="28.8" thickTop="1" thickBot="1" x14ac:dyDescent="0.35">
      <c r="A41" s="135" t="s">
        <v>19</v>
      </c>
      <c r="B41" s="124" t="s">
        <v>296</v>
      </c>
      <c r="C41" s="124" t="s">
        <v>290</v>
      </c>
      <c r="D41" s="572" t="s">
        <v>11</v>
      </c>
      <c r="E41" s="569">
        <v>200000</v>
      </c>
      <c r="F41" s="570">
        <v>421600</v>
      </c>
      <c r="G41" s="570">
        <v>444788</v>
      </c>
    </row>
    <row r="42" spans="1:7" ht="28.8" thickTop="1" thickBot="1" x14ac:dyDescent="0.35">
      <c r="A42" s="134">
        <v>12</v>
      </c>
      <c r="B42" s="124" t="s">
        <v>13</v>
      </c>
      <c r="C42" s="125" t="s">
        <v>15</v>
      </c>
      <c r="D42" s="126" t="s">
        <v>23</v>
      </c>
      <c r="E42" s="568">
        <v>10000000</v>
      </c>
      <c r="F42" s="568">
        <v>14681858.07</v>
      </c>
      <c r="G42" s="568">
        <v>11325141.93</v>
      </c>
    </row>
    <row r="43" spans="1:7" ht="28.8" thickTop="1" thickBot="1" x14ac:dyDescent="0.35">
      <c r="A43" s="135">
        <v>1</v>
      </c>
      <c r="B43" s="124" t="s">
        <v>13</v>
      </c>
      <c r="C43" s="125" t="s">
        <v>313</v>
      </c>
      <c r="D43" s="126" t="s">
        <v>11</v>
      </c>
      <c r="E43" s="568">
        <v>10000000</v>
      </c>
      <c r="F43" s="568">
        <v>15151030.59</v>
      </c>
      <c r="G43" s="568">
        <v>10355969.41</v>
      </c>
    </row>
    <row r="44" spans="1:7" ht="27.6" thickTop="1" thickBot="1" x14ac:dyDescent="0.35">
      <c r="A44" s="135"/>
      <c r="B44" s="130" t="s">
        <v>277</v>
      </c>
      <c r="C44" s="125" t="s">
        <v>453</v>
      </c>
      <c r="D44" s="126" t="s">
        <v>11</v>
      </c>
      <c r="E44" s="567"/>
      <c r="F44" s="567">
        <v>600000</v>
      </c>
      <c r="G44" s="567">
        <v>15458044.800000001</v>
      </c>
    </row>
    <row r="45" spans="1:7" ht="27.6" thickTop="1" thickBot="1" x14ac:dyDescent="0.35">
      <c r="A45" s="135">
        <v>29</v>
      </c>
      <c r="B45" s="130" t="s">
        <v>277</v>
      </c>
      <c r="C45" s="125" t="s">
        <v>238</v>
      </c>
      <c r="D45" s="126" t="s">
        <v>11</v>
      </c>
      <c r="E45" s="567">
        <v>6000000</v>
      </c>
      <c r="F45" s="567"/>
      <c r="G45" s="567"/>
    </row>
    <row r="46" spans="1:7" ht="27.6" thickTop="1" thickBot="1" x14ac:dyDescent="0.35">
      <c r="A46" s="134" t="s">
        <v>30</v>
      </c>
      <c r="B46" s="124" t="s">
        <v>21</v>
      </c>
      <c r="C46" s="125" t="s">
        <v>32</v>
      </c>
      <c r="D46" s="126" t="s">
        <v>11</v>
      </c>
      <c r="E46" s="568">
        <v>924760</v>
      </c>
      <c r="F46" s="568"/>
      <c r="G46" s="568"/>
    </row>
    <row r="47" spans="1:7" ht="15" thickTop="1" thickBot="1" x14ac:dyDescent="0.35">
      <c r="A47" s="134">
        <v>29</v>
      </c>
      <c r="B47" s="124" t="s">
        <v>21</v>
      </c>
      <c r="C47" s="125" t="s">
        <v>274</v>
      </c>
      <c r="D47" s="126" t="s">
        <v>11</v>
      </c>
      <c r="E47" s="568">
        <v>3800000</v>
      </c>
      <c r="F47" s="568"/>
      <c r="G47" s="568"/>
    </row>
    <row r="48" spans="1:7" ht="28.8" thickTop="1" thickBot="1" x14ac:dyDescent="0.35">
      <c r="A48" s="134">
        <v>3</v>
      </c>
      <c r="B48" s="124" t="s">
        <v>13</v>
      </c>
      <c r="C48" s="125" t="s">
        <v>22</v>
      </c>
      <c r="D48" s="126" t="s">
        <v>289</v>
      </c>
      <c r="E48" s="571">
        <v>11001978</v>
      </c>
      <c r="F48" s="571"/>
      <c r="G48" s="571"/>
    </row>
    <row r="49" spans="1:7" ht="28.8" thickTop="1" thickBot="1" x14ac:dyDescent="0.35">
      <c r="A49" s="134">
        <v>10</v>
      </c>
      <c r="B49" s="124" t="s">
        <v>18</v>
      </c>
      <c r="C49" s="41" t="s">
        <v>33</v>
      </c>
      <c r="D49" s="126" t="s">
        <v>289</v>
      </c>
      <c r="E49" s="568">
        <v>5283210</v>
      </c>
      <c r="F49" s="568"/>
      <c r="G49" s="568"/>
    </row>
    <row r="50" spans="1:7" ht="28.8" thickTop="1" thickBot="1" x14ac:dyDescent="0.35">
      <c r="A50" s="134">
        <v>8</v>
      </c>
      <c r="B50" s="124" t="s">
        <v>18</v>
      </c>
      <c r="C50" s="125" t="s">
        <v>34</v>
      </c>
      <c r="D50" s="126" t="s">
        <v>289</v>
      </c>
      <c r="E50" s="568">
        <v>7450000</v>
      </c>
      <c r="F50" s="568"/>
      <c r="G50" s="568"/>
    </row>
    <row r="51" spans="1:7" ht="28.8" thickTop="1" thickBot="1" x14ac:dyDescent="0.35">
      <c r="A51" s="134">
        <v>4</v>
      </c>
      <c r="B51" s="124" t="s">
        <v>18</v>
      </c>
      <c r="C51" s="125" t="s">
        <v>35</v>
      </c>
      <c r="D51" s="126" t="s">
        <v>23</v>
      </c>
      <c r="E51" s="568">
        <v>4987800</v>
      </c>
      <c r="F51" s="568"/>
      <c r="G51" s="568"/>
    </row>
    <row r="52" spans="1:7" ht="28.8" thickTop="1" thickBot="1" x14ac:dyDescent="0.35">
      <c r="A52" s="134">
        <v>20</v>
      </c>
      <c r="B52" s="124" t="s">
        <v>18</v>
      </c>
      <c r="C52" s="125" t="s">
        <v>36</v>
      </c>
      <c r="D52" s="126" t="s">
        <v>23</v>
      </c>
      <c r="E52" s="568">
        <v>5503600</v>
      </c>
      <c r="F52" s="568"/>
      <c r="G52" s="568"/>
    </row>
    <row r="53" spans="1:7" ht="28.8" thickTop="1" thickBot="1" x14ac:dyDescent="0.35">
      <c r="A53" s="134">
        <v>24</v>
      </c>
      <c r="B53" s="124" t="s">
        <v>18</v>
      </c>
      <c r="C53" s="125" t="s">
        <v>272</v>
      </c>
      <c r="D53" s="126" t="s">
        <v>23</v>
      </c>
      <c r="E53" s="568">
        <v>5401000</v>
      </c>
      <c r="F53" s="568"/>
      <c r="G53" s="568"/>
    </row>
    <row r="54" spans="1:7" ht="28.8" thickTop="1" thickBot="1" x14ac:dyDescent="0.35">
      <c r="A54" s="134">
        <v>20</v>
      </c>
      <c r="B54" s="124" t="s">
        <v>18</v>
      </c>
      <c r="C54" s="125" t="s">
        <v>858</v>
      </c>
      <c r="D54" s="126" t="s">
        <v>23</v>
      </c>
      <c r="E54" s="568">
        <v>1000000</v>
      </c>
      <c r="F54" s="568">
        <v>4000000</v>
      </c>
      <c r="G54" s="568">
        <v>2400000</v>
      </c>
    </row>
    <row r="55" spans="1:7" ht="14.4" thickTop="1" x14ac:dyDescent="0.3"/>
  </sheetData>
  <mergeCells count="2">
    <mergeCell ref="A1:G1"/>
    <mergeCell ref="E2:G2"/>
  </mergeCells>
  <pageMargins left="0.7" right="0.7" top="0.75" bottom="0.75" header="0.3" footer="0.3"/>
  <pageSetup paperSize="9" scale="43"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Q18"/>
  <sheetViews>
    <sheetView view="pageBreakPreview" topLeftCell="A13" zoomScale="86" zoomScaleNormal="100" zoomScaleSheetLayoutView="86" workbookViewId="0">
      <selection activeCell="A16" sqref="A16:XFD16"/>
    </sheetView>
  </sheetViews>
  <sheetFormatPr defaultColWidth="8.88671875" defaultRowHeight="10.199999999999999" x14ac:dyDescent="0.2"/>
  <cols>
    <col min="1" max="1" width="9.109375" style="506" customWidth="1"/>
    <col min="2" max="2" width="17.109375" style="453" customWidth="1"/>
    <col min="3" max="3" width="10.5546875" style="506" customWidth="1"/>
    <col min="4" max="4" width="14.33203125" style="506" customWidth="1"/>
    <col min="5" max="5" width="12" style="507" customWidth="1"/>
    <col min="6" max="7" width="11.5546875" style="453" customWidth="1"/>
    <col min="8" max="9" width="8.6640625" style="453" customWidth="1"/>
    <col min="10" max="12" width="10.109375" style="508" customWidth="1"/>
    <col min="13" max="13" width="14.5546875" style="453" customWidth="1"/>
    <col min="14" max="14" width="14.33203125" style="453" customWidth="1"/>
    <col min="15" max="15" width="13.6640625" style="453" customWidth="1"/>
    <col min="16" max="16" width="12.6640625" style="453" customWidth="1"/>
    <col min="17" max="17" width="11.6640625" style="453" customWidth="1"/>
    <col min="18" max="16384" width="8.88671875" style="453"/>
  </cols>
  <sheetData>
    <row r="1" spans="1:17" ht="10.8" thickTop="1" x14ac:dyDescent="0.2">
      <c r="A1" s="643" t="s">
        <v>610</v>
      </c>
      <c r="B1" s="644"/>
      <c r="C1" s="644"/>
      <c r="D1" s="644"/>
      <c r="E1" s="644"/>
      <c r="F1" s="644"/>
      <c r="G1" s="644"/>
      <c r="H1" s="644"/>
      <c r="I1" s="644"/>
      <c r="J1" s="644"/>
      <c r="K1" s="645"/>
      <c r="L1" s="645"/>
      <c r="M1" s="644"/>
      <c r="N1" s="644"/>
      <c r="O1" s="644"/>
      <c r="P1" s="644"/>
      <c r="Q1" s="646"/>
    </row>
    <row r="2" spans="1:17" ht="9.6" customHeight="1" thickBot="1" x14ac:dyDescent="0.25">
      <c r="A2" s="647"/>
      <c r="B2" s="648"/>
      <c r="C2" s="648"/>
      <c r="D2" s="648"/>
      <c r="E2" s="648"/>
      <c r="F2" s="648"/>
      <c r="G2" s="648"/>
      <c r="H2" s="648"/>
      <c r="I2" s="648"/>
      <c r="J2" s="648"/>
      <c r="K2" s="648"/>
      <c r="L2" s="648"/>
      <c r="M2" s="648"/>
      <c r="N2" s="648"/>
      <c r="O2" s="648"/>
      <c r="P2" s="648"/>
      <c r="Q2" s="649"/>
    </row>
    <row r="3" spans="1:17" ht="16.2" customHeight="1" thickTop="1" thickBot="1" x14ac:dyDescent="0.25">
      <c r="A3" s="488"/>
      <c r="B3" s="488"/>
      <c r="C3" s="488"/>
      <c r="D3" s="488" t="s">
        <v>51</v>
      </c>
      <c r="E3" s="488"/>
      <c r="F3" s="488"/>
      <c r="G3" s="488"/>
      <c r="H3" s="488"/>
      <c r="I3" s="488"/>
      <c r="J3" s="488"/>
      <c r="K3" s="488"/>
      <c r="L3" s="488"/>
      <c r="M3" s="488"/>
      <c r="N3" s="488"/>
      <c r="O3" s="488"/>
      <c r="P3" s="488"/>
      <c r="Q3" s="489"/>
    </row>
    <row r="4" spans="1:17" ht="21.6" thickTop="1" thickBot="1" x14ac:dyDescent="0.25">
      <c r="A4" s="490" t="s">
        <v>1</v>
      </c>
      <c r="B4" s="491" t="s">
        <v>2</v>
      </c>
      <c r="C4" s="491" t="s">
        <v>3</v>
      </c>
      <c r="D4" s="491" t="s">
        <v>316</v>
      </c>
      <c r="E4" s="491" t="s">
        <v>4</v>
      </c>
      <c r="F4" s="492" t="s">
        <v>5</v>
      </c>
      <c r="G4" s="492" t="s">
        <v>6</v>
      </c>
      <c r="H4" s="492" t="s">
        <v>7</v>
      </c>
      <c r="I4" s="493" t="s">
        <v>8</v>
      </c>
      <c r="J4" s="491" t="s">
        <v>314</v>
      </c>
      <c r="K4" s="573" t="s">
        <v>962</v>
      </c>
      <c r="L4" s="573" t="s">
        <v>967</v>
      </c>
      <c r="M4" s="493" t="s">
        <v>39</v>
      </c>
      <c r="N4" s="493" t="s">
        <v>40</v>
      </c>
      <c r="O4" s="493" t="s">
        <v>41</v>
      </c>
      <c r="P4" s="493" t="s">
        <v>42</v>
      </c>
      <c r="Q4" s="493" t="s">
        <v>9</v>
      </c>
    </row>
    <row r="5" spans="1:17" ht="31.8" thickTop="1" thickBot="1" x14ac:dyDescent="0.25">
      <c r="A5" s="494" t="s">
        <v>25</v>
      </c>
      <c r="B5" s="495" t="s">
        <v>48</v>
      </c>
      <c r="C5" s="496" t="s">
        <v>862</v>
      </c>
      <c r="D5" s="496" t="s">
        <v>627</v>
      </c>
      <c r="E5" s="496" t="s">
        <v>630</v>
      </c>
      <c r="F5" s="497">
        <v>43647</v>
      </c>
      <c r="G5" s="497">
        <v>44012</v>
      </c>
      <c r="H5" s="498" t="s">
        <v>49</v>
      </c>
      <c r="I5" s="498" t="s">
        <v>11</v>
      </c>
      <c r="J5" s="499">
        <v>5000</v>
      </c>
      <c r="K5" s="576">
        <v>5000</v>
      </c>
      <c r="L5" s="576">
        <f>J5-K5</f>
        <v>0</v>
      </c>
      <c r="M5" s="640" t="s">
        <v>981</v>
      </c>
      <c r="N5" s="641"/>
      <c r="O5" s="641"/>
      <c r="P5" s="641"/>
      <c r="Q5" s="642"/>
    </row>
    <row r="6" spans="1:17" ht="42" thickTop="1" thickBot="1" x14ac:dyDescent="0.25">
      <c r="A6" s="494" t="s">
        <v>25</v>
      </c>
      <c r="B6" s="495" t="s">
        <v>48</v>
      </c>
      <c r="C6" s="496" t="s">
        <v>24</v>
      </c>
      <c r="D6" s="500" t="s">
        <v>659</v>
      </c>
      <c r="E6" s="500" t="s">
        <v>660</v>
      </c>
      <c r="F6" s="497">
        <v>43647</v>
      </c>
      <c r="G6" s="497">
        <v>44012</v>
      </c>
      <c r="H6" s="501" t="s">
        <v>49</v>
      </c>
      <c r="I6" s="501" t="s">
        <v>11</v>
      </c>
      <c r="J6" s="502">
        <v>450000</v>
      </c>
      <c r="K6" s="577">
        <v>190000</v>
      </c>
      <c r="L6" s="576">
        <f t="shared" ref="L6:L17" si="0">J6-K6</f>
        <v>260000</v>
      </c>
      <c r="M6" s="494" t="s">
        <v>268</v>
      </c>
      <c r="N6" s="496" t="s">
        <v>270</v>
      </c>
      <c r="O6" s="496" t="s">
        <v>269</v>
      </c>
      <c r="P6" s="500" t="s">
        <v>661</v>
      </c>
      <c r="Q6" s="496" t="s">
        <v>508</v>
      </c>
    </row>
    <row r="7" spans="1:17" ht="42" thickTop="1" thickBot="1" x14ac:dyDescent="0.25">
      <c r="A7" s="494" t="s">
        <v>25</v>
      </c>
      <c r="B7" s="495" t="s">
        <v>48</v>
      </c>
      <c r="C7" s="494" t="s">
        <v>24</v>
      </c>
      <c r="D7" s="500" t="s">
        <v>662</v>
      </c>
      <c r="E7" s="503" t="s">
        <v>665</v>
      </c>
      <c r="F7" s="497">
        <v>43647</v>
      </c>
      <c r="G7" s="497">
        <v>44012</v>
      </c>
      <c r="H7" s="494" t="s">
        <v>49</v>
      </c>
      <c r="I7" s="494" t="s">
        <v>11</v>
      </c>
      <c r="J7" s="502">
        <v>350000</v>
      </c>
      <c r="K7" s="577">
        <v>300000</v>
      </c>
      <c r="L7" s="576">
        <f t="shared" si="0"/>
        <v>50000</v>
      </c>
      <c r="M7" s="496" t="s">
        <v>43</v>
      </c>
      <c r="N7" s="496" t="s">
        <v>270</v>
      </c>
      <c r="O7" s="496" t="s">
        <v>269</v>
      </c>
      <c r="P7" s="503" t="s">
        <v>663</v>
      </c>
      <c r="Q7" s="496" t="s">
        <v>508</v>
      </c>
    </row>
    <row r="8" spans="1:17" ht="42" thickTop="1" thickBot="1" x14ac:dyDescent="0.25">
      <c r="A8" s="496" t="s">
        <v>25</v>
      </c>
      <c r="B8" s="504" t="s">
        <v>48</v>
      </c>
      <c r="C8" s="496" t="s">
        <v>24</v>
      </c>
      <c r="D8" s="500" t="s">
        <v>664</v>
      </c>
      <c r="E8" s="500" t="s">
        <v>666</v>
      </c>
      <c r="F8" s="497">
        <v>43647</v>
      </c>
      <c r="G8" s="497">
        <v>44012</v>
      </c>
      <c r="H8" s="498" t="s">
        <v>49</v>
      </c>
      <c r="I8" s="498" t="s">
        <v>11</v>
      </c>
      <c r="J8" s="502">
        <v>250000</v>
      </c>
      <c r="K8" s="577">
        <v>235000</v>
      </c>
      <c r="L8" s="576">
        <f t="shared" si="0"/>
        <v>15000</v>
      </c>
      <c r="M8" s="496" t="s">
        <v>43</v>
      </c>
      <c r="N8" s="496" t="s">
        <v>270</v>
      </c>
      <c r="O8" s="496" t="s">
        <v>269</v>
      </c>
      <c r="P8" s="500" t="s">
        <v>667</v>
      </c>
      <c r="Q8" s="496" t="s">
        <v>508</v>
      </c>
    </row>
    <row r="9" spans="1:17" ht="52.2" customHeight="1" thickTop="1" thickBot="1" x14ac:dyDescent="0.25">
      <c r="A9" s="496" t="s">
        <v>25</v>
      </c>
      <c r="B9" s="504" t="s">
        <v>48</v>
      </c>
      <c r="C9" s="496" t="s">
        <v>24</v>
      </c>
      <c r="D9" s="494" t="s">
        <v>668</v>
      </c>
      <c r="E9" s="494" t="s">
        <v>669</v>
      </c>
      <c r="F9" s="497">
        <v>43647</v>
      </c>
      <c r="G9" s="497">
        <v>44012</v>
      </c>
      <c r="H9" s="498" t="s">
        <v>49</v>
      </c>
      <c r="I9" s="498" t="s">
        <v>11</v>
      </c>
      <c r="J9" s="502">
        <v>200000</v>
      </c>
      <c r="K9" s="577">
        <v>200000</v>
      </c>
      <c r="L9" s="576">
        <f t="shared" si="0"/>
        <v>0</v>
      </c>
      <c r="M9" s="640" t="s">
        <v>981</v>
      </c>
      <c r="N9" s="641"/>
      <c r="O9" s="641"/>
      <c r="P9" s="641"/>
      <c r="Q9" s="642"/>
    </row>
    <row r="10" spans="1:17" ht="42" thickTop="1" thickBot="1" x14ac:dyDescent="0.25">
      <c r="A10" s="496" t="s">
        <v>25</v>
      </c>
      <c r="B10" s="504" t="s">
        <v>48</v>
      </c>
      <c r="C10" s="496" t="s">
        <v>24</v>
      </c>
      <c r="D10" s="494" t="s">
        <v>968</v>
      </c>
      <c r="E10" s="494" t="s">
        <v>969</v>
      </c>
      <c r="F10" s="497">
        <v>43891</v>
      </c>
      <c r="G10" s="497">
        <v>44012</v>
      </c>
      <c r="H10" s="498" t="s">
        <v>49</v>
      </c>
      <c r="I10" s="498" t="s">
        <v>11</v>
      </c>
      <c r="J10" s="502">
        <v>1000000</v>
      </c>
      <c r="K10" s="577">
        <v>0</v>
      </c>
      <c r="L10" s="576">
        <f t="shared" si="0"/>
        <v>1000000</v>
      </c>
      <c r="M10" s="496" t="s">
        <v>12</v>
      </c>
      <c r="N10" s="496" t="s">
        <v>12</v>
      </c>
      <c r="O10" s="496" t="s">
        <v>496</v>
      </c>
      <c r="P10" s="503" t="s">
        <v>977</v>
      </c>
      <c r="Q10" s="496" t="s">
        <v>508</v>
      </c>
    </row>
    <row r="11" spans="1:17" ht="42" customHeight="1" thickTop="1" thickBot="1" x14ac:dyDescent="0.25">
      <c r="A11" s="494" t="s">
        <v>25</v>
      </c>
      <c r="B11" s="495" t="s">
        <v>48</v>
      </c>
      <c r="C11" s="494" t="s">
        <v>20</v>
      </c>
      <c r="D11" s="500" t="s">
        <v>670</v>
      </c>
      <c r="E11" s="500" t="s">
        <v>671</v>
      </c>
      <c r="F11" s="497">
        <v>43647</v>
      </c>
      <c r="G11" s="497">
        <v>44012</v>
      </c>
      <c r="H11" s="498" t="s">
        <v>49</v>
      </c>
      <c r="I11" s="498" t="s">
        <v>11</v>
      </c>
      <c r="J11" s="502">
        <v>200000</v>
      </c>
      <c r="K11" s="577">
        <v>200000</v>
      </c>
      <c r="L11" s="576">
        <f t="shared" si="0"/>
        <v>0</v>
      </c>
      <c r="M11" s="640" t="s">
        <v>981</v>
      </c>
      <c r="N11" s="641"/>
      <c r="O11" s="641"/>
      <c r="P11" s="641"/>
      <c r="Q11" s="642"/>
    </row>
    <row r="12" spans="1:17" ht="82.8" thickTop="1" thickBot="1" x14ac:dyDescent="0.25">
      <c r="A12" s="494"/>
      <c r="B12" s="495" t="s">
        <v>48</v>
      </c>
      <c r="C12" s="494" t="s">
        <v>20</v>
      </c>
      <c r="D12" s="496" t="s">
        <v>672</v>
      </c>
      <c r="E12" s="496" t="s">
        <v>673</v>
      </c>
      <c r="F12" s="497">
        <v>43647</v>
      </c>
      <c r="G12" s="497">
        <v>44012</v>
      </c>
      <c r="H12" s="498" t="s">
        <v>677</v>
      </c>
      <c r="I12" s="498" t="s">
        <v>11</v>
      </c>
      <c r="J12" s="502">
        <v>100000</v>
      </c>
      <c r="K12" s="577">
        <v>0</v>
      </c>
      <c r="L12" s="576">
        <f t="shared" si="0"/>
        <v>100000</v>
      </c>
      <c r="M12" s="496" t="s">
        <v>43</v>
      </c>
      <c r="N12" s="496" t="s">
        <v>270</v>
      </c>
      <c r="O12" s="496" t="s">
        <v>269</v>
      </c>
      <c r="P12" s="496" t="s">
        <v>674</v>
      </c>
      <c r="Q12" s="496" t="s">
        <v>509</v>
      </c>
    </row>
    <row r="13" spans="1:17" ht="72.599999999999994" thickTop="1" thickBot="1" x14ac:dyDescent="0.25">
      <c r="A13" s="496" t="s">
        <v>25</v>
      </c>
      <c r="B13" s="504" t="s">
        <v>48</v>
      </c>
      <c r="C13" s="496" t="s">
        <v>20</v>
      </c>
      <c r="D13" s="505" t="s">
        <v>675</v>
      </c>
      <c r="E13" s="505" t="s">
        <v>676</v>
      </c>
      <c r="F13" s="497">
        <v>43647</v>
      </c>
      <c r="G13" s="497">
        <v>44012</v>
      </c>
      <c r="H13" s="498" t="s">
        <v>49</v>
      </c>
      <c r="I13" s="498" t="s">
        <v>11</v>
      </c>
      <c r="J13" s="502">
        <v>100000</v>
      </c>
      <c r="K13" s="577">
        <v>100000</v>
      </c>
      <c r="L13" s="576">
        <f t="shared" si="0"/>
        <v>0</v>
      </c>
      <c r="M13" s="496" t="s">
        <v>43</v>
      </c>
      <c r="N13" s="496" t="s">
        <v>270</v>
      </c>
      <c r="O13" s="496" t="s">
        <v>269</v>
      </c>
      <c r="P13" s="505" t="s">
        <v>678</v>
      </c>
      <c r="Q13" s="496" t="s">
        <v>508</v>
      </c>
    </row>
    <row r="14" spans="1:17" ht="31.95" customHeight="1" thickTop="1" thickBot="1" x14ac:dyDescent="0.25">
      <c r="A14" s="496" t="s">
        <v>25</v>
      </c>
      <c r="B14" s="504" t="s">
        <v>48</v>
      </c>
      <c r="C14" s="496" t="s">
        <v>20</v>
      </c>
      <c r="D14" s="496" t="s">
        <v>683</v>
      </c>
      <c r="E14" s="496" t="s">
        <v>681</v>
      </c>
      <c r="F14" s="497">
        <v>43647</v>
      </c>
      <c r="G14" s="497">
        <v>44012</v>
      </c>
      <c r="H14" s="498" t="s">
        <v>49</v>
      </c>
      <c r="I14" s="498" t="s">
        <v>11</v>
      </c>
      <c r="J14" s="502">
        <v>400000</v>
      </c>
      <c r="K14" s="577">
        <v>400000</v>
      </c>
      <c r="L14" s="576">
        <f t="shared" si="0"/>
        <v>0</v>
      </c>
      <c r="M14" s="640" t="s">
        <v>981</v>
      </c>
      <c r="N14" s="641"/>
      <c r="O14" s="641"/>
      <c r="P14" s="641"/>
      <c r="Q14" s="642"/>
    </row>
    <row r="15" spans="1:17" ht="42" customHeight="1" thickTop="1" thickBot="1" x14ac:dyDescent="0.25">
      <c r="A15" s="496" t="s">
        <v>25</v>
      </c>
      <c r="B15" s="504" t="s">
        <v>48</v>
      </c>
      <c r="C15" s="496" t="s">
        <v>20</v>
      </c>
      <c r="D15" s="496" t="s">
        <v>698</v>
      </c>
      <c r="E15" s="496" t="s">
        <v>682</v>
      </c>
      <c r="F15" s="497">
        <v>43647</v>
      </c>
      <c r="G15" s="497">
        <v>44012</v>
      </c>
      <c r="H15" s="498" t="s">
        <v>49</v>
      </c>
      <c r="I15" s="498" t="s">
        <v>11</v>
      </c>
      <c r="J15" s="502">
        <v>30000</v>
      </c>
      <c r="K15" s="577">
        <v>30000</v>
      </c>
      <c r="L15" s="576">
        <f t="shared" si="0"/>
        <v>0</v>
      </c>
      <c r="M15" s="640" t="s">
        <v>981</v>
      </c>
      <c r="N15" s="641"/>
      <c r="O15" s="641"/>
      <c r="P15" s="641"/>
      <c r="Q15" s="642"/>
    </row>
    <row r="16" spans="1:17" ht="31.95" customHeight="1" thickTop="1" thickBot="1" x14ac:dyDescent="0.25">
      <c r="A16" s="496" t="s">
        <v>25</v>
      </c>
      <c r="B16" s="504" t="s">
        <v>48</v>
      </c>
      <c r="C16" s="496" t="s">
        <v>867</v>
      </c>
      <c r="D16" s="496" t="s">
        <v>699</v>
      </c>
      <c r="E16" s="496" t="s">
        <v>700</v>
      </c>
      <c r="F16" s="497">
        <v>43647</v>
      </c>
      <c r="G16" s="497">
        <v>44012</v>
      </c>
      <c r="H16" s="498" t="s">
        <v>38</v>
      </c>
      <c r="I16" s="498" t="s">
        <v>11</v>
      </c>
      <c r="J16" s="502">
        <v>10000</v>
      </c>
      <c r="K16" s="577">
        <v>10000</v>
      </c>
      <c r="L16" s="576">
        <f t="shared" si="0"/>
        <v>0</v>
      </c>
      <c r="M16" s="640" t="s">
        <v>981</v>
      </c>
      <c r="N16" s="641"/>
      <c r="O16" s="641"/>
      <c r="P16" s="641"/>
      <c r="Q16" s="642"/>
    </row>
    <row r="17" spans="1:17" ht="31.95" customHeight="1" thickTop="1" thickBot="1" x14ac:dyDescent="0.25">
      <c r="A17" s="496" t="s">
        <v>25</v>
      </c>
      <c r="B17" s="504" t="s">
        <v>48</v>
      </c>
      <c r="C17" s="496" t="s">
        <v>867</v>
      </c>
      <c r="D17" s="496" t="s">
        <v>701</v>
      </c>
      <c r="E17" s="496" t="s">
        <v>702</v>
      </c>
      <c r="F17" s="497">
        <v>43647</v>
      </c>
      <c r="G17" s="497">
        <v>44012</v>
      </c>
      <c r="H17" s="498" t="s">
        <v>38</v>
      </c>
      <c r="I17" s="498" t="s">
        <v>11</v>
      </c>
      <c r="J17" s="502">
        <v>20000</v>
      </c>
      <c r="K17" s="577">
        <v>20000</v>
      </c>
      <c r="L17" s="576">
        <f t="shared" si="0"/>
        <v>0</v>
      </c>
      <c r="M17" s="640" t="s">
        <v>981</v>
      </c>
      <c r="N17" s="641"/>
      <c r="O17" s="641"/>
      <c r="P17" s="641"/>
      <c r="Q17" s="642"/>
    </row>
    <row r="18" spans="1:17" ht="10.8" thickTop="1" x14ac:dyDescent="0.2"/>
  </sheetData>
  <mergeCells count="8">
    <mergeCell ref="M15:Q15"/>
    <mergeCell ref="M16:Q16"/>
    <mergeCell ref="M17:Q17"/>
    <mergeCell ref="M5:Q5"/>
    <mergeCell ref="A1:Q2"/>
    <mergeCell ref="M9:Q9"/>
    <mergeCell ref="M11:Q11"/>
    <mergeCell ref="M14:Q14"/>
  </mergeCells>
  <phoneticPr fontId="58" type="noConversion"/>
  <pageMargins left="0.70866141732283472" right="0.70866141732283472" top="0.74803149606299213" bottom="0.74803149606299213" header="0.31496062992125984" footer="0.31496062992125984"/>
  <pageSetup paperSize="9" scale="65" fitToHeight="0" orientation="landscape" r:id="rId1"/>
  <headerFooter>
    <oddHeader>&amp;CMUNICIPAL TRANSFORMATION AND DEVELOPMENT</oddHeader>
    <oddFooter>&amp;L2018/19 SDBIP&amp;CMUNICIPAL TRANSFORMATION AND DEVELOPMENT PROJECTS &amp;RPage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48"/>
  <sheetViews>
    <sheetView view="pageBreakPreview" zoomScale="60" zoomScaleNormal="100" workbookViewId="0">
      <selection activeCell="P32" sqref="P32"/>
    </sheetView>
  </sheetViews>
  <sheetFormatPr defaultRowHeight="14.4" x14ac:dyDescent="0.3"/>
  <cols>
    <col min="1" max="1" width="57.6640625" customWidth="1"/>
    <col min="2" max="2" width="14.6640625" customWidth="1"/>
    <col min="14" max="14" width="24.33203125" customWidth="1"/>
  </cols>
  <sheetData>
    <row r="1" spans="1:2" ht="19.2" thickTop="1" thickBot="1" x14ac:dyDescent="0.35">
      <c r="A1" s="95" t="s">
        <v>217</v>
      </c>
      <c r="B1" s="95"/>
    </row>
    <row r="2" spans="1:2" ht="15.6" thickTop="1" thickBot="1" x14ac:dyDescent="0.35">
      <c r="A2" s="96" t="s">
        <v>239</v>
      </c>
      <c r="B2" s="97">
        <v>3</v>
      </c>
    </row>
    <row r="3" spans="1:2" s="1" customFormat="1" ht="15.6" thickTop="1" thickBot="1" x14ac:dyDescent="0.35">
      <c r="A3" s="96"/>
      <c r="B3" s="97"/>
    </row>
    <row r="4" spans="1:2" ht="15.6" thickTop="1" thickBot="1" x14ac:dyDescent="0.35">
      <c r="A4" s="96" t="s">
        <v>218</v>
      </c>
      <c r="B4" s="97">
        <v>6</v>
      </c>
    </row>
    <row r="5" spans="1:2" ht="15.6" thickTop="1" thickBot="1" x14ac:dyDescent="0.35">
      <c r="A5" s="96"/>
      <c r="B5" s="97"/>
    </row>
    <row r="6" spans="1:2" ht="15.6" thickTop="1" thickBot="1" x14ac:dyDescent="0.35">
      <c r="A6" s="96" t="s">
        <v>219</v>
      </c>
      <c r="B6" s="97">
        <v>7</v>
      </c>
    </row>
    <row r="7" spans="1:2" s="102" customFormat="1" ht="15.6" thickTop="1" thickBot="1" x14ac:dyDescent="0.35">
      <c r="A7" s="96"/>
      <c r="B7" s="97"/>
    </row>
    <row r="8" spans="1:2" s="1" customFormat="1" ht="15.6" thickTop="1" thickBot="1" x14ac:dyDescent="0.35">
      <c r="A8" s="96" t="s">
        <v>455</v>
      </c>
      <c r="B8" s="152"/>
    </row>
    <row r="9" spans="1:2" s="101" customFormat="1" ht="15.6" thickTop="1" thickBot="1" x14ac:dyDescent="0.35">
      <c r="A9" s="96" t="s">
        <v>959</v>
      </c>
      <c r="B9" s="97">
        <v>8</v>
      </c>
    </row>
    <row r="10" spans="1:2" s="101" customFormat="1" ht="15.6" thickTop="1" thickBot="1" x14ac:dyDescent="0.35">
      <c r="A10" s="96" t="s">
        <v>960</v>
      </c>
      <c r="B10" s="97">
        <v>11</v>
      </c>
    </row>
    <row r="11" spans="1:2" s="101" customFormat="1" ht="15.6" thickTop="1" thickBot="1" x14ac:dyDescent="0.35">
      <c r="A11" s="96" t="s">
        <v>961</v>
      </c>
      <c r="B11" s="97">
        <v>16</v>
      </c>
    </row>
    <row r="12" spans="1:2" s="102" customFormat="1" ht="15.6" thickTop="1" thickBot="1" x14ac:dyDescent="0.35">
      <c r="A12" s="96"/>
      <c r="B12" s="97"/>
    </row>
    <row r="13" spans="1:2" s="1" customFormat="1" ht="28.8" thickTop="1" thickBot="1" x14ac:dyDescent="0.35">
      <c r="A13" s="98" t="s">
        <v>456</v>
      </c>
      <c r="B13" s="97"/>
    </row>
    <row r="14" spans="1:2" s="123" customFormat="1" ht="15.6" thickTop="1" thickBot="1" x14ac:dyDescent="0.35">
      <c r="A14" s="153" t="s">
        <v>513</v>
      </c>
      <c r="B14" s="151">
        <v>18</v>
      </c>
    </row>
    <row r="15" spans="1:2" s="123" customFormat="1" ht="15.6" thickTop="1" thickBot="1" x14ac:dyDescent="0.35">
      <c r="A15" s="153" t="s">
        <v>514</v>
      </c>
      <c r="B15" s="151">
        <v>19</v>
      </c>
    </row>
    <row r="16" spans="1:2" s="123" customFormat="1" ht="15.6" thickTop="1" thickBot="1" x14ac:dyDescent="0.35">
      <c r="A16" s="153" t="s">
        <v>514</v>
      </c>
      <c r="B16" s="151">
        <v>20</v>
      </c>
    </row>
    <row r="17" spans="1:2" s="123" customFormat="1" ht="15.6" thickTop="1" thickBot="1" x14ac:dyDescent="0.35">
      <c r="A17" s="153"/>
      <c r="B17" s="151"/>
    </row>
    <row r="18" spans="1:2" ht="15.6" thickTop="1" thickBot="1" x14ac:dyDescent="0.35">
      <c r="A18" s="96" t="s">
        <v>220</v>
      </c>
      <c r="B18" s="97">
        <v>22</v>
      </c>
    </row>
    <row r="19" spans="1:2" ht="15.6" thickTop="1" thickBot="1" x14ac:dyDescent="0.35">
      <c r="A19" s="96" t="s">
        <v>222</v>
      </c>
      <c r="B19" s="97">
        <v>25</v>
      </c>
    </row>
    <row r="20" spans="1:2" s="1" customFormat="1" ht="15.6" thickTop="1" thickBot="1" x14ac:dyDescent="0.35">
      <c r="A20" s="96" t="s">
        <v>454</v>
      </c>
      <c r="B20" s="97">
        <v>27</v>
      </c>
    </row>
    <row r="21" spans="1:2" ht="15.6" thickTop="1" thickBot="1" x14ac:dyDescent="0.35">
      <c r="A21" s="96" t="s">
        <v>225</v>
      </c>
      <c r="B21" s="97">
        <v>28</v>
      </c>
    </row>
    <row r="22" spans="1:2" ht="15.6" thickTop="1" thickBot="1" x14ac:dyDescent="0.35">
      <c r="A22" s="96" t="s">
        <v>227</v>
      </c>
      <c r="B22" s="97">
        <v>32</v>
      </c>
    </row>
    <row r="23" spans="1:2" s="1" customFormat="1" ht="15.6" thickTop="1" thickBot="1" x14ac:dyDescent="0.35">
      <c r="A23" s="96"/>
      <c r="B23" s="97"/>
    </row>
    <row r="24" spans="1:2" s="102" customFormat="1" ht="15.6" thickTop="1" thickBot="1" x14ac:dyDescent="0.35">
      <c r="A24" s="96" t="s">
        <v>457</v>
      </c>
      <c r="B24" s="100"/>
    </row>
    <row r="25" spans="1:2" ht="15.6" thickTop="1" thickBot="1" x14ac:dyDescent="0.35">
      <c r="A25" s="96" t="s">
        <v>512</v>
      </c>
      <c r="B25" s="97">
        <v>34</v>
      </c>
    </row>
    <row r="26" spans="1:2" ht="15.6" thickTop="1" thickBot="1" x14ac:dyDescent="0.35">
      <c r="A26" s="96"/>
      <c r="B26" s="97"/>
    </row>
    <row r="27" spans="1:2" ht="15.6" thickTop="1" thickBot="1" x14ac:dyDescent="0.35">
      <c r="A27" s="99" t="s">
        <v>221</v>
      </c>
      <c r="B27" s="97">
        <v>35</v>
      </c>
    </row>
    <row r="28" spans="1:2" ht="15.6" thickTop="1" thickBot="1" x14ac:dyDescent="0.35">
      <c r="A28" s="96" t="s">
        <v>223</v>
      </c>
      <c r="B28" s="97">
        <v>37</v>
      </c>
    </row>
    <row r="29" spans="1:2" ht="15.6" thickTop="1" thickBot="1" x14ac:dyDescent="0.35">
      <c r="A29" s="96" t="s">
        <v>224</v>
      </c>
      <c r="B29" s="97">
        <v>42</v>
      </c>
    </row>
    <row r="30" spans="1:2" ht="15.6" thickTop="1" thickBot="1" x14ac:dyDescent="0.35">
      <c r="A30" s="96" t="s">
        <v>226</v>
      </c>
      <c r="B30" s="97">
        <v>43</v>
      </c>
    </row>
    <row r="31" spans="1:2" ht="15.6" thickTop="1" thickBot="1" x14ac:dyDescent="0.35">
      <c r="A31" s="96" t="s">
        <v>228</v>
      </c>
      <c r="B31" s="97">
        <v>44</v>
      </c>
    </row>
    <row r="32" spans="1:2" s="123" customFormat="1" ht="15.6" thickTop="1" thickBot="1" x14ac:dyDescent="0.35">
      <c r="A32" s="150"/>
      <c r="B32" s="151"/>
    </row>
    <row r="33" spans="1:18" s="123" customFormat="1" ht="15.6" thickTop="1" thickBot="1" x14ac:dyDescent="0.35">
      <c r="A33" s="150"/>
      <c r="B33" s="151"/>
    </row>
    <row r="34" spans="1:18" s="123" customFormat="1" ht="15.6" thickTop="1" thickBot="1" x14ac:dyDescent="0.35">
      <c r="A34" s="150"/>
      <c r="B34" s="151"/>
    </row>
    <row r="35" spans="1:18" ht="15.6" thickTop="1" thickBot="1" x14ac:dyDescent="0.35">
      <c r="A35" s="96" t="s">
        <v>229</v>
      </c>
      <c r="B35" s="100">
        <v>45</v>
      </c>
    </row>
    <row r="36" spans="1:18" ht="15" thickTop="1" x14ac:dyDescent="0.3"/>
    <row r="48" spans="1:18" x14ac:dyDescent="0.3">
      <c r="R48" s="3"/>
    </row>
  </sheetData>
  <pageMargins left="0.70866141732283472" right="0.70866141732283472" top="0.74803149606299213" bottom="0.74803149606299213" header="0.31496062992125984" footer="0.31496062992125984"/>
  <pageSetup paperSize="9" fitToHeight="0" orientation="portrait" r:id="rId1"/>
  <headerFooter>
    <oddFooter>&amp;CINDEX 2019/20 SDBIP&amp;RPage &amp;P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Q124"/>
  <sheetViews>
    <sheetView view="pageBreakPreview" zoomScale="70" zoomScaleNormal="100" zoomScaleSheetLayoutView="70" zoomScalePageLayoutView="89" workbookViewId="0">
      <selection activeCell="A31" sqref="A1:XFD1048576"/>
    </sheetView>
  </sheetViews>
  <sheetFormatPr defaultColWidth="8.88671875" defaultRowHeight="13.8" x14ac:dyDescent="0.3"/>
  <cols>
    <col min="1" max="1" width="7.5546875" style="554" customWidth="1"/>
    <col min="2" max="2" width="13.33203125" style="39" customWidth="1"/>
    <col min="3" max="3" width="11.88671875" style="39" customWidth="1"/>
    <col min="4" max="4" width="36" style="555" customWidth="1"/>
    <col min="5" max="5" width="16.109375" style="133" customWidth="1"/>
    <col min="6" max="6" width="11" style="39" customWidth="1"/>
    <col min="7" max="7" width="12.33203125" style="39" customWidth="1"/>
    <col min="8" max="9" width="8.88671875" style="39"/>
    <col min="10" max="11" width="11.5546875" style="39" customWidth="1"/>
    <col min="12" max="12" width="12.44140625" style="39" bestFit="1" customWidth="1"/>
    <col min="13" max="13" width="16.6640625" style="39" customWidth="1"/>
    <col min="14" max="14" width="20" style="39" customWidth="1"/>
    <col min="15" max="15" width="17.44140625" style="39" customWidth="1"/>
    <col min="16" max="16" width="16.6640625" style="39" customWidth="1"/>
    <col min="17" max="17" width="20" style="39" customWidth="1"/>
    <col min="18" max="16384" width="8.88671875" style="39"/>
  </cols>
  <sheetData>
    <row r="1" spans="1:17" ht="14.4" thickTop="1" x14ac:dyDescent="0.3">
      <c r="A1" s="650" t="s">
        <v>610</v>
      </c>
      <c r="B1" s="651"/>
      <c r="C1" s="651"/>
      <c r="D1" s="651"/>
      <c r="E1" s="651"/>
      <c r="F1" s="651"/>
      <c r="G1" s="651"/>
      <c r="H1" s="651"/>
      <c r="I1" s="651"/>
      <c r="J1" s="651"/>
      <c r="K1" s="651"/>
      <c r="L1" s="651"/>
      <c r="M1" s="651"/>
      <c r="N1" s="651"/>
      <c r="O1" s="651"/>
      <c r="P1" s="651"/>
      <c r="Q1" s="652"/>
    </row>
    <row r="2" spans="1:17" ht="14.4" thickBot="1" x14ac:dyDescent="0.35">
      <c r="A2" s="653"/>
      <c r="B2" s="654"/>
      <c r="C2" s="654"/>
      <c r="D2" s="654"/>
      <c r="E2" s="654"/>
      <c r="F2" s="654"/>
      <c r="G2" s="654"/>
      <c r="H2" s="654"/>
      <c r="I2" s="654"/>
      <c r="J2" s="654"/>
      <c r="K2" s="654"/>
      <c r="L2" s="654"/>
      <c r="M2" s="654"/>
      <c r="N2" s="654"/>
      <c r="O2" s="654"/>
      <c r="P2" s="654"/>
      <c r="Q2" s="655"/>
    </row>
    <row r="3" spans="1:17" ht="15" thickTop="1" thickBot="1" x14ac:dyDescent="0.35">
      <c r="A3" s="585"/>
      <c r="B3" s="585"/>
      <c r="C3" s="585"/>
      <c r="D3" s="585"/>
      <c r="E3" s="585" t="s">
        <v>46</v>
      </c>
      <c r="F3" s="585"/>
      <c r="G3" s="585"/>
      <c r="H3" s="585"/>
      <c r="I3" s="585"/>
      <c r="J3" s="585"/>
      <c r="K3" s="579"/>
      <c r="L3" s="579"/>
      <c r="M3" s="585"/>
      <c r="N3" s="585"/>
      <c r="O3" s="585"/>
      <c r="P3" s="585"/>
      <c r="Q3" s="585"/>
    </row>
    <row r="4" spans="1:17" ht="40.799999999999997" thickTop="1" thickBot="1" x14ac:dyDescent="0.35">
      <c r="A4" s="545" t="s">
        <v>344</v>
      </c>
      <c r="B4" s="546" t="s">
        <v>2</v>
      </c>
      <c r="C4" s="546" t="s">
        <v>3</v>
      </c>
      <c r="D4" s="546" t="s">
        <v>345</v>
      </c>
      <c r="E4" s="546" t="s">
        <v>4</v>
      </c>
      <c r="F4" s="547" t="s">
        <v>5</v>
      </c>
      <c r="G4" s="547" t="s">
        <v>6</v>
      </c>
      <c r="H4" s="547" t="s">
        <v>7</v>
      </c>
      <c r="I4" s="548" t="s">
        <v>8</v>
      </c>
      <c r="J4" s="546" t="s">
        <v>312</v>
      </c>
      <c r="K4" s="580" t="s">
        <v>962</v>
      </c>
      <c r="L4" s="580" t="s">
        <v>963</v>
      </c>
      <c r="M4" s="548" t="s">
        <v>39</v>
      </c>
      <c r="N4" s="548" t="s">
        <v>40</v>
      </c>
      <c r="O4" s="548" t="s">
        <v>41</v>
      </c>
      <c r="P4" s="548" t="s">
        <v>42</v>
      </c>
      <c r="Q4" s="548" t="s">
        <v>9</v>
      </c>
    </row>
    <row r="5" spans="1:17" ht="42.6" thickTop="1" thickBot="1" x14ac:dyDescent="0.35">
      <c r="A5" s="549" t="s">
        <v>19</v>
      </c>
      <c r="B5" s="131" t="s">
        <v>10</v>
      </c>
      <c r="C5" s="124" t="s">
        <v>864</v>
      </c>
      <c r="D5" s="124" t="s">
        <v>859</v>
      </c>
      <c r="E5" s="124" t="s">
        <v>686</v>
      </c>
      <c r="F5" s="550">
        <v>43647</v>
      </c>
      <c r="G5" s="550">
        <v>44012</v>
      </c>
      <c r="H5" s="124" t="s">
        <v>38</v>
      </c>
      <c r="I5" s="126" t="s">
        <v>11</v>
      </c>
      <c r="J5" s="128">
        <v>3000</v>
      </c>
      <c r="K5" s="581">
        <v>0</v>
      </c>
      <c r="L5" s="581">
        <f>J5-K5</f>
        <v>3000</v>
      </c>
      <c r="M5" s="124" t="s">
        <v>43</v>
      </c>
      <c r="N5" s="124" t="s">
        <v>861</v>
      </c>
      <c r="O5" s="124" t="s">
        <v>687</v>
      </c>
      <c r="P5" s="124" t="s">
        <v>12</v>
      </c>
      <c r="Q5" s="124" t="s">
        <v>507</v>
      </c>
    </row>
    <row r="6" spans="1:17" ht="56.4" thickTop="1" thickBot="1" x14ac:dyDescent="0.35">
      <c r="A6" s="551">
        <v>5</v>
      </c>
      <c r="B6" s="131" t="s">
        <v>10</v>
      </c>
      <c r="C6" s="124" t="s">
        <v>28</v>
      </c>
      <c r="D6" s="124" t="s">
        <v>688</v>
      </c>
      <c r="E6" s="131" t="s">
        <v>689</v>
      </c>
      <c r="F6" s="550">
        <v>43647</v>
      </c>
      <c r="G6" s="550">
        <v>44012</v>
      </c>
      <c r="H6" s="124" t="s">
        <v>37</v>
      </c>
      <c r="I6" s="126" t="s">
        <v>11</v>
      </c>
      <c r="J6" s="128">
        <v>3100000</v>
      </c>
      <c r="K6" s="581">
        <v>1600000</v>
      </c>
      <c r="L6" s="581">
        <f t="shared" ref="L6:L71" si="0">J6-K6</f>
        <v>1500000</v>
      </c>
      <c r="M6" s="124" t="s">
        <v>43</v>
      </c>
      <c r="N6" s="124" t="s">
        <v>690</v>
      </c>
      <c r="O6" s="124" t="s">
        <v>694</v>
      </c>
      <c r="P6" s="124" t="s">
        <v>982</v>
      </c>
      <c r="Q6" s="124" t="s">
        <v>983</v>
      </c>
    </row>
    <row r="7" spans="1:17" ht="67.2" thickTop="1" thickBot="1" x14ac:dyDescent="0.35">
      <c r="A7" s="551">
        <v>6</v>
      </c>
      <c r="B7" s="131" t="s">
        <v>10</v>
      </c>
      <c r="C7" s="124" t="s">
        <v>286</v>
      </c>
      <c r="D7" s="131" t="s">
        <v>692</v>
      </c>
      <c r="E7" s="131" t="s">
        <v>691</v>
      </c>
      <c r="F7" s="550">
        <v>43647</v>
      </c>
      <c r="G7" s="550">
        <v>44012</v>
      </c>
      <c r="H7" s="124" t="s">
        <v>38</v>
      </c>
      <c r="I7" s="126" t="s">
        <v>11</v>
      </c>
      <c r="J7" s="128">
        <v>1500000</v>
      </c>
      <c r="K7" s="581">
        <v>1300000</v>
      </c>
      <c r="L7" s="581">
        <f t="shared" si="0"/>
        <v>200000</v>
      </c>
      <c r="M7" s="124" t="s">
        <v>43</v>
      </c>
      <c r="N7" s="124" t="s">
        <v>690</v>
      </c>
      <c r="O7" s="124" t="s">
        <v>694</v>
      </c>
      <c r="P7" s="124" t="s">
        <v>693</v>
      </c>
      <c r="Q7" s="124" t="s">
        <v>491</v>
      </c>
    </row>
    <row r="8" spans="1:17" ht="84" thickTop="1" thickBot="1" x14ac:dyDescent="0.35">
      <c r="A8" s="551">
        <v>3</v>
      </c>
      <c r="B8" s="131" t="s">
        <v>10</v>
      </c>
      <c r="C8" s="124" t="s">
        <v>286</v>
      </c>
      <c r="D8" s="124" t="s">
        <v>985</v>
      </c>
      <c r="E8" s="124" t="s">
        <v>695</v>
      </c>
      <c r="F8" s="550">
        <v>43647</v>
      </c>
      <c r="G8" s="550">
        <v>44012</v>
      </c>
      <c r="H8" s="124" t="s">
        <v>38</v>
      </c>
      <c r="I8" s="126" t="s">
        <v>11</v>
      </c>
      <c r="J8" s="127">
        <v>30000</v>
      </c>
      <c r="K8" s="582">
        <v>0</v>
      </c>
      <c r="L8" s="581">
        <f t="shared" si="0"/>
        <v>30000</v>
      </c>
      <c r="M8" s="124" t="s">
        <v>43</v>
      </c>
      <c r="N8" s="124" t="s">
        <v>690</v>
      </c>
      <c r="O8" s="124" t="s">
        <v>988</v>
      </c>
      <c r="P8" s="124" t="s">
        <v>986</v>
      </c>
      <c r="Q8" s="124" t="s">
        <v>987</v>
      </c>
    </row>
    <row r="9" spans="1:17" ht="56.4" thickTop="1" thickBot="1" x14ac:dyDescent="0.35">
      <c r="A9" s="549" t="s">
        <v>19</v>
      </c>
      <c r="B9" s="552" t="s">
        <v>10</v>
      </c>
      <c r="C9" s="552" t="s">
        <v>866</v>
      </c>
      <c r="D9" s="124" t="s">
        <v>865</v>
      </c>
      <c r="E9" s="131" t="s">
        <v>696</v>
      </c>
      <c r="F9" s="550">
        <v>43647</v>
      </c>
      <c r="G9" s="550">
        <v>44012</v>
      </c>
      <c r="H9" s="124" t="s">
        <v>38</v>
      </c>
      <c r="I9" s="126" t="s">
        <v>11</v>
      </c>
      <c r="J9" s="127">
        <v>300000</v>
      </c>
      <c r="K9" s="582">
        <v>50000</v>
      </c>
      <c r="L9" s="581">
        <f t="shared" si="0"/>
        <v>250000</v>
      </c>
      <c r="M9" s="124" t="s">
        <v>305</v>
      </c>
      <c r="N9" s="124" t="s">
        <v>306</v>
      </c>
      <c r="O9" s="124" t="s">
        <v>307</v>
      </c>
      <c r="P9" s="124" t="s">
        <v>697</v>
      </c>
      <c r="Q9" s="124" t="s">
        <v>507</v>
      </c>
    </row>
    <row r="10" spans="1:17" ht="56.4" customHeight="1" thickTop="1" thickBot="1" x14ac:dyDescent="0.35">
      <c r="A10" s="549" t="s">
        <v>778</v>
      </c>
      <c r="B10" s="131" t="s">
        <v>10</v>
      </c>
      <c r="C10" s="124" t="s">
        <v>21</v>
      </c>
      <c r="D10" s="124" t="s">
        <v>703</v>
      </c>
      <c r="E10" s="124" t="s">
        <v>275</v>
      </c>
      <c r="F10" s="550">
        <v>43647</v>
      </c>
      <c r="G10" s="550">
        <v>44012</v>
      </c>
      <c r="H10" s="553" t="s">
        <v>230</v>
      </c>
      <c r="I10" s="126" t="s">
        <v>11</v>
      </c>
      <c r="J10" s="128">
        <v>3300000</v>
      </c>
      <c r="K10" s="581">
        <v>3300000</v>
      </c>
      <c r="L10" s="581">
        <f t="shared" si="0"/>
        <v>0</v>
      </c>
      <c r="M10" s="656" t="s">
        <v>984</v>
      </c>
      <c r="N10" s="657"/>
      <c r="O10" s="657"/>
      <c r="P10" s="657"/>
      <c r="Q10" s="658"/>
    </row>
    <row r="11" spans="1:17" ht="56.4" thickTop="1" thickBot="1" x14ac:dyDescent="0.35">
      <c r="A11" s="551">
        <v>27</v>
      </c>
      <c r="B11" s="131" t="s">
        <v>10</v>
      </c>
      <c r="C11" s="124" t="s">
        <v>13</v>
      </c>
      <c r="D11" s="124" t="s">
        <v>882</v>
      </c>
      <c r="E11" s="131" t="s">
        <v>704</v>
      </c>
      <c r="F11" s="550">
        <v>43647</v>
      </c>
      <c r="G11" s="550">
        <v>44012</v>
      </c>
      <c r="H11" s="124" t="s">
        <v>37</v>
      </c>
      <c r="I11" s="126" t="s">
        <v>11</v>
      </c>
      <c r="J11" s="128">
        <v>10902226.35</v>
      </c>
      <c r="K11" s="581">
        <v>4853531.05</v>
      </c>
      <c r="L11" s="581">
        <f t="shared" si="0"/>
        <v>6048695.2999999998</v>
      </c>
      <c r="M11" s="124" t="s">
        <v>877</v>
      </c>
      <c r="N11" s="124" t="s">
        <v>878</v>
      </c>
      <c r="O11" s="124" t="s">
        <v>879</v>
      </c>
      <c r="P11" s="124" t="s">
        <v>880</v>
      </c>
      <c r="Q11" s="124" t="s">
        <v>881</v>
      </c>
    </row>
    <row r="12" spans="1:17" ht="84" thickTop="1" thickBot="1" x14ac:dyDescent="0.35">
      <c r="A12" s="551">
        <v>16</v>
      </c>
      <c r="B12" s="131" t="s">
        <v>10</v>
      </c>
      <c r="C12" s="124" t="s">
        <v>13</v>
      </c>
      <c r="D12" s="124" t="s">
        <v>885</v>
      </c>
      <c r="E12" s="131" t="s">
        <v>705</v>
      </c>
      <c r="F12" s="550">
        <v>43647</v>
      </c>
      <c r="G12" s="550">
        <v>44012</v>
      </c>
      <c r="H12" s="124" t="s">
        <v>37</v>
      </c>
      <c r="I12" s="126" t="s">
        <v>11</v>
      </c>
      <c r="J12" s="128">
        <v>4500000</v>
      </c>
      <c r="K12" s="581">
        <v>1242628.98</v>
      </c>
      <c r="L12" s="581">
        <f t="shared" si="0"/>
        <v>3257371.02</v>
      </c>
      <c r="M12" s="124" t="s">
        <v>877</v>
      </c>
      <c r="N12" s="124" t="s">
        <v>878</v>
      </c>
      <c r="O12" s="124" t="s">
        <v>879</v>
      </c>
      <c r="P12" s="124" t="s">
        <v>498</v>
      </c>
      <c r="Q12" s="124" t="s">
        <v>499</v>
      </c>
    </row>
    <row r="13" spans="1:17" ht="42.6" thickTop="1" thickBot="1" x14ac:dyDescent="0.35">
      <c r="A13" s="551" t="s">
        <v>29</v>
      </c>
      <c r="B13" s="131" t="s">
        <v>10</v>
      </c>
      <c r="C13" s="124" t="s">
        <v>31</v>
      </c>
      <c r="D13" s="124" t="s">
        <v>938</v>
      </c>
      <c r="E13" s="131" t="s">
        <v>939</v>
      </c>
      <c r="F13" s="550">
        <v>43647</v>
      </c>
      <c r="G13" s="550">
        <v>44012</v>
      </c>
      <c r="H13" s="124" t="s">
        <v>38</v>
      </c>
      <c r="I13" s="126" t="s">
        <v>11</v>
      </c>
      <c r="J13" s="128">
        <v>1500000</v>
      </c>
      <c r="K13" s="581">
        <v>1100000</v>
      </c>
      <c r="L13" s="581">
        <f t="shared" si="0"/>
        <v>400000</v>
      </c>
      <c r="M13" s="124" t="s">
        <v>43</v>
      </c>
      <c r="N13" s="124" t="s">
        <v>651</v>
      </c>
      <c r="O13" s="124" t="s">
        <v>706</v>
      </c>
      <c r="P13" s="124" t="s">
        <v>940</v>
      </c>
      <c r="Q13" s="124" t="s">
        <v>507</v>
      </c>
    </row>
    <row r="14" spans="1:17" ht="50.4" customHeight="1" thickTop="1" thickBot="1" x14ac:dyDescent="0.35">
      <c r="A14" s="551" t="s">
        <v>29</v>
      </c>
      <c r="B14" s="131" t="s">
        <v>10</v>
      </c>
      <c r="C14" s="124" t="s">
        <v>31</v>
      </c>
      <c r="D14" s="124" t="s">
        <v>971</v>
      </c>
      <c r="E14" s="131" t="s">
        <v>970</v>
      </c>
      <c r="F14" s="550">
        <v>43647</v>
      </c>
      <c r="G14" s="550">
        <v>44012</v>
      </c>
      <c r="H14" s="124" t="s">
        <v>38</v>
      </c>
      <c r="I14" s="126" t="s">
        <v>11</v>
      </c>
      <c r="J14" s="128">
        <v>120000</v>
      </c>
      <c r="K14" s="581">
        <v>20000</v>
      </c>
      <c r="L14" s="581">
        <f>J14+K14</f>
        <v>140000</v>
      </c>
      <c r="M14" s="124" t="s">
        <v>43</v>
      </c>
      <c r="N14" s="124" t="s">
        <v>651</v>
      </c>
      <c r="O14" s="124" t="s">
        <v>694</v>
      </c>
      <c r="P14" s="124" t="s">
        <v>868</v>
      </c>
      <c r="Q14" s="124" t="s">
        <v>507</v>
      </c>
    </row>
    <row r="15" spans="1:17" ht="42.6" thickTop="1" thickBot="1" x14ac:dyDescent="0.35">
      <c r="A15" s="551" t="s">
        <v>29</v>
      </c>
      <c r="B15" s="131" t="s">
        <v>10</v>
      </c>
      <c r="C15" s="124" t="s">
        <v>31</v>
      </c>
      <c r="D15" s="124" t="s">
        <v>887</v>
      </c>
      <c r="E15" s="131" t="s">
        <v>708</v>
      </c>
      <c r="F15" s="550">
        <v>43647</v>
      </c>
      <c r="G15" s="550">
        <v>44012</v>
      </c>
      <c r="H15" s="124" t="s">
        <v>38</v>
      </c>
      <c r="I15" s="126" t="s">
        <v>11</v>
      </c>
      <c r="J15" s="128">
        <v>280000</v>
      </c>
      <c r="K15" s="581">
        <v>80000</v>
      </c>
      <c r="L15" s="581">
        <f t="shared" si="0"/>
        <v>200000</v>
      </c>
      <c r="M15" s="124" t="s">
        <v>268</v>
      </c>
      <c r="N15" s="124" t="s">
        <v>270</v>
      </c>
      <c r="O15" s="124" t="s">
        <v>501</v>
      </c>
      <c r="P15" s="124" t="s">
        <v>707</v>
      </c>
      <c r="Q15" s="124" t="s">
        <v>507</v>
      </c>
    </row>
    <row r="16" spans="1:17" ht="42.6" customHeight="1" thickTop="1" thickBot="1" x14ac:dyDescent="0.35">
      <c r="A16" s="551">
        <v>29</v>
      </c>
      <c r="B16" s="131" t="s">
        <v>10</v>
      </c>
      <c r="C16" s="124" t="s">
        <v>31</v>
      </c>
      <c r="D16" s="124" t="s">
        <v>780</v>
      </c>
      <c r="E16" s="131" t="s">
        <v>781</v>
      </c>
      <c r="F16" s="550">
        <v>43647</v>
      </c>
      <c r="G16" s="550">
        <v>44012</v>
      </c>
      <c r="H16" s="124" t="s">
        <v>38</v>
      </c>
      <c r="I16" s="126" t="s">
        <v>11</v>
      </c>
      <c r="J16" s="128">
        <v>700000</v>
      </c>
      <c r="K16" s="581">
        <v>700000</v>
      </c>
      <c r="L16" s="581">
        <f t="shared" si="0"/>
        <v>0</v>
      </c>
      <c r="M16" s="656" t="s">
        <v>984</v>
      </c>
      <c r="N16" s="657"/>
      <c r="O16" s="657"/>
      <c r="P16" s="657"/>
      <c r="Q16" s="658"/>
    </row>
    <row r="17" spans="1:17" ht="80.400000000000006" customHeight="1" thickTop="1" thickBot="1" x14ac:dyDescent="0.35">
      <c r="A17" s="551" t="s">
        <v>782</v>
      </c>
      <c r="B17" s="131" t="s">
        <v>10</v>
      </c>
      <c r="C17" s="124" t="s">
        <v>31</v>
      </c>
      <c r="D17" s="124" t="s">
        <v>869</v>
      </c>
      <c r="E17" s="131" t="s">
        <v>870</v>
      </c>
      <c r="F17" s="550">
        <v>43647</v>
      </c>
      <c r="G17" s="550">
        <v>44012</v>
      </c>
      <c r="H17" s="124" t="s">
        <v>37</v>
      </c>
      <c r="I17" s="126" t="s">
        <v>11</v>
      </c>
      <c r="J17" s="128">
        <v>300000</v>
      </c>
      <c r="K17" s="581">
        <v>300000</v>
      </c>
      <c r="L17" s="581">
        <f t="shared" si="0"/>
        <v>0</v>
      </c>
      <c r="M17" s="656" t="s">
        <v>984</v>
      </c>
      <c r="N17" s="657"/>
      <c r="O17" s="657"/>
      <c r="P17" s="657"/>
      <c r="Q17" s="658"/>
    </row>
    <row r="18" spans="1:17" ht="40.799999999999997" thickTop="1" thickBot="1" x14ac:dyDescent="0.35">
      <c r="A18" s="551" t="s">
        <v>29</v>
      </c>
      <c r="B18" s="131" t="s">
        <v>10</v>
      </c>
      <c r="C18" s="124" t="s">
        <v>31</v>
      </c>
      <c r="D18" s="124" t="s">
        <v>783</v>
      </c>
      <c r="E18" s="131" t="s">
        <v>784</v>
      </c>
      <c r="F18" s="550">
        <v>43647</v>
      </c>
      <c r="G18" s="550">
        <v>44012</v>
      </c>
      <c r="H18" s="124" t="s">
        <v>38</v>
      </c>
      <c r="I18" s="126" t="s">
        <v>11</v>
      </c>
      <c r="J18" s="128">
        <v>1500000</v>
      </c>
      <c r="K18" s="581">
        <v>1500000</v>
      </c>
      <c r="L18" s="581">
        <f t="shared" si="0"/>
        <v>0</v>
      </c>
      <c r="M18" s="656" t="s">
        <v>984</v>
      </c>
      <c r="N18" s="657"/>
      <c r="O18" s="657"/>
      <c r="P18" s="657"/>
      <c r="Q18" s="658"/>
    </row>
    <row r="19" spans="1:17" ht="40.799999999999997" thickTop="1" thickBot="1" x14ac:dyDescent="0.35">
      <c r="A19" s="551" t="s">
        <v>29</v>
      </c>
      <c r="B19" s="131" t="s">
        <v>10</v>
      </c>
      <c r="C19" s="124" t="s">
        <v>18</v>
      </c>
      <c r="D19" s="124" t="s">
        <v>785</v>
      </c>
      <c r="E19" s="131" t="s">
        <v>786</v>
      </c>
      <c r="F19" s="550">
        <v>43647</v>
      </c>
      <c r="G19" s="550">
        <v>44012</v>
      </c>
      <c r="H19" s="124" t="s">
        <v>37</v>
      </c>
      <c r="I19" s="126" t="s">
        <v>11</v>
      </c>
      <c r="J19" s="128">
        <v>850000</v>
      </c>
      <c r="K19" s="581">
        <v>850000</v>
      </c>
      <c r="L19" s="581">
        <f t="shared" si="0"/>
        <v>0</v>
      </c>
      <c r="M19" s="656" t="s">
        <v>984</v>
      </c>
      <c r="N19" s="657"/>
      <c r="O19" s="657"/>
      <c r="P19" s="657"/>
      <c r="Q19" s="658"/>
    </row>
    <row r="20" spans="1:17" ht="40.799999999999997" thickTop="1" thickBot="1" x14ac:dyDescent="0.35">
      <c r="A20" s="551" t="s">
        <v>19</v>
      </c>
      <c r="B20" s="131" t="s">
        <v>10</v>
      </c>
      <c r="C20" s="124" t="s">
        <v>18</v>
      </c>
      <c r="D20" s="124" t="s">
        <v>787</v>
      </c>
      <c r="E20" s="131" t="s">
        <v>788</v>
      </c>
      <c r="F20" s="550">
        <v>43647</v>
      </c>
      <c r="G20" s="550">
        <v>44012</v>
      </c>
      <c r="H20" s="124" t="s">
        <v>37</v>
      </c>
      <c r="I20" s="126" t="s">
        <v>11</v>
      </c>
      <c r="J20" s="128">
        <v>800000</v>
      </c>
      <c r="K20" s="581">
        <v>800000</v>
      </c>
      <c r="L20" s="581">
        <f t="shared" si="0"/>
        <v>0</v>
      </c>
      <c r="M20" s="656" t="s">
        <v>984</v>
      </c>
      <c r="N20" s="657"/>
      <c r="O20" s="657"/>
      <c r="P20" s="657"/>
      <c r="Q20" s="658"/>
    </row>
    <row r="21" spans="1:17" ht="42.6" thickTop="1" thickBot="1" x14ac:dyDescent="0.35">
      <c r="A21" s="551" t="s">
        <v>29</v>
      </c>
      <c r="B21" s="131" t="s">
        <v>10</v>
      </c>
      <c r="C21" s="124" t="s">
        <v>871</v>
      </c>
      <c r="D21" s="124" t="s">
        <v>789</v>
      </c>
      <c r="E21" s="131" t="s">
        <v>790</v>
      </c>
      <c r="F21" s="550">
        <v>43647</v>
      </c>
      <c r="G21" s="550">
        <v>44012</v>
      </c>
      <c r="H21" s="124" t="s">
        <v>37</v>
      </c>
      <c r="I21" s="126" t="s">
        <v>11</v>
      </c>
      <c r="J21" s="128">
        <v>2980000</v>
      </c>
      <c r="K21" s="581">
        <v>1206108.49</v>
      </c>
      <c r="L21" s="581">
        <f t="shared" si="0"/>
        <v>1773891.51</v>
      </c>
      <c r="M21" s="124" t="s">
        <v>268</v>
      </c>
      <c r="N21" s="124" t="s">
        <v>270</v>
      </c>
      <c r="O21" s="124" t="s">
        <v>989</v>
      </c>
      <c r="P21" s="124" t="s">
        <v>714</v>
      </c>
      <c r="Q21" s="124" t="s">
        <v>990</v>
      </c>
    </row>
    <row r="22" spans="1:17" ht="42.6" customHeight="1" thickTop="1" thickBot="1" x14ac:dyDescent="0.35">
      <c r="A22" s="551">
        <v>3</v>
      </c>
      <c r="B22" s="131" t="s">
        <v>10</v>
      </c>
      <c r="C22" s="124" t="s">
        <v>871</v>
      </c>
      <c r="D22" s="124" t="s">
        <v>791</v>
      </c>
      <c r="E22" s="131" t="s">
        <v>792</v>
      </c>
      <c r="F22" s="550">
        <v>43647</v>
      </c>
      <c r="G22" s="550">
        <v>44012</v>
      </c>
      <c r="H22" s="124" t="s">
        <v>37</v>
      </c>
      <c r="I22" s="126" t="s">
        <v>11</v>
      </c>
      <c r="J22" s="128">
        <v>700000</v>
      </c>
      <c r="K22" s="581">
        <v>700000</v>
      </c>
      <c r="L22" s="581">
        <f t="shared" si="0"/>
        <v>0</v>
      </c>
      <c r="M22" s="656" t="s">
        <v>984</v>
      </c>
      <c r="N22" s="657"/>
      <c r="O22" s="657"/>
      <c r="P22" s="657"/>
      <c r="Q22" s="658"/>
    </row>
    <row r="23" spans="1:17" ht="40.799999999999997" thickTop="1" thickBot="1" x14ac:dyDescent="0.35">
      <c r="A23" s="549" t="s">
        <v>19</v>
      </c>
      <c r="B23" s="131" t="s">
        <v>10</v>
      </c>
      <c r="C23" s="124" t="s">
        <v>872</v>
      </c>
      <c r="D23" s="124" t="s">
        <v>793</v>
      </c>
      <c r="E23" s="131" t="s">
        <v>794</v>
      </c>
      <c r="F23" s="550">
        <v>43647</v>
      </c>
      <c r="G23" s="550">
        <v>44012</v>
      </c>
      <c r="H23" s="124" t="s">
        <v>37</v>
      </c>
      <c r="I23" s="126" t="s">
        <v>11</v>
      </c>
      <c r="J23" s="128">
        <v>350000</v>
      </c>
      <c r="K23" s="581">
        <v>350000</v>
      </c>
      <c r="L23" s="581">
        <f t="shared" si="0"/>
        <v>0</v>
      </c>
      <c r="M23" s="656" t="s">
        <v>984</v>
      </c>
      <c r="N23" s="657"/>
      <c r="O23" s="657"/>
      <c r="P23" s="657"/>
      <c r="Q23" s="658"/>
    </row>
    <row r="24" spans="1:17" ht="70.2" thickTop="1" thickBot="1" x14ac:dyDescent="0.35">
      <c r="A24" s="549" t="s">
        <v>19</v>
      </c>
      <c r="B24" s="131" t="s">
        <v>10</v>
      </c>
      <c r="C24" s="124" t="s">
        <v>872</v>
      </c>
      <c r="D24" s="124" t="s">
        <v>795</v>
      </c>
      <c r="E24" s="124" t="s">
        <v>796</v>
      </c>
      <c r="F24" s="550">
        <v>43647</v>
      </c>
      <c r="G24" s="550">
        <v>44012</v>
      </c>
      <c r="H24" s="124" t="s">
        <v>37</v>
      </c>
      <c r="I24" s="126" t="s">
        <v>11</v>
      </c>
      <c r="J24" s="128">
        <v>1050000</v>
      </c>
      <c r="K24" s="581">
        <v>1050000</v>
      </c>
      <c r="L24" s="581">
        <f t="shared" si="0"/>
        <v>0</v>
      </c>
      <c r="M24" s="656" t="s">
        <v>984</v>
      </c>
      <c r="N24" s="657"/>
      <c r="O24" s="657"/>
      <c r="P24" s="657"/>
      <c r="Q24" s="658"/>
    </row>
    <row r="25" spans="1:17" ht="97.8" thickTop="1" thickBot="1" x14ac:dyDescent="0.35">
      <c r="A25" s="549" t="s">
        <v>19</v>
      </c>
      <c r="B25" s="131" t="s">
        <v>10</v>
      </c>
      <c r="C25" s="124" t="s">
        <v>873</v>
      </c>
      <c r="D25" s="124" t="s">
        <v>800</v>
      </c>
      <c r="E25" s="124" t="s">
        <v>797</v>
      </c>
      <c r="F25" s="550">
        <v>43647</v>
      </c>
      <c r="G25" s="550">
        <v>44012</v>
      </c>
      <c r="H25" s="124" t="s">
        <v>37</v>
      </c>
      <c r="I25" s="126" t="s">
        <v>11</v>
      </c>
      <c r="J25" s="128">
        <v>2500000</v>
      </c>
      <c r="K25" s="581">
        <v>2500000</v>
      </c>
      <c r="L25" s="581">
        <f t="shared" si="0"/>
        <v>0</v>
      </c>
      <c r="M25" s="656" t="s">
        <v>984</v>
      </c>
      <c r="N25" s="657"/>
      <c r="O25" s="657"/>
      <c r="P25" s="657"/>
      <c r="Q25" s="658"/>
    </row>
    <row r="26" spans="1:17" ht="84" thickTop="1" thickBot="1" x14ac:dyDescent="0.35">
      <c r="A26" s="549" t="s">
        <v>19</v>
      </c>
      <c r="B26" s="131" t="s">
        <v>10</v>
      </c>
      <c r="C26" s="124" t="s">
        <v>872</v>
      </c>
      <c r="D26" s="124" t="s">
        <v>799</v>
      </c>
      <c r="E26" s="124" t="s">
        <v>798</v>
      </c>
      <c r="F26" s="550">
        <v>43647</v>
      </c>
      <c r="G26" s="550">
        <v>44012</v>
      </c>
      <c r="H26" s="124" t="s">
        <v>37</v>
      </c>
      <c r="I26" s="126" t="s">
        <v>11</v>
      </c>
      <c r="J26" s="128">
        <v>2500000</v>
      </c>
      <c r="K26" s="581">
        <v>2500000</v>
      </c>
      <c r="L26" s="581">
        <f t="shared" si="0"/>
        <v>0</v>
      </c>
      <c r="M26" s="656" t="s">
        <v>984</v>
      </c>
      <c r="N26" s="657"/>
      <c r="O26" s="657"/>
      <c r="P26" s="657"/>
      <c r="Q26" s="658"/>
    </row>
    <row r="27" spans="1:17" ht="65.25" customHeight="1" thickTop="1" thickBot="1" x14ac:dyDescent="0.35">
      <c r="A27" s="549" t="s">
        <v>19</v>
      </c>
      <c r="B27" s="131" t="s">
        <v>10</v>
      </c>
      <c r="C27" s="124" t="s">
        <v>872</v>
      </c>
      <c r="D27" s="124" t="s">
        <v>802</v>
      </c>
      <c r="E27" s="124" t="s">
        <v>801</v>
      </c>
      <c r="F27" s="550">
        <v>43647</v>
      </c>
      <c r="G27" s="550">
        <v>44012</v>
      </c>
      <c r="H27" s="124" t="s">
        <v>37</v>
      </c>
      <c r="I27" s="126" t="s">
        <v>11</v>
      </c>
      <c r="J27" s="128">
        <v>1500000</v>
      </c>
      <c r="K27" s="581">
        <v>1500000</v>
      </c>
      <c r="L27" s="581">
        <f t="shared" si="0"/>
        <v>0</v>
      </c>
      <c r="M27" s="656" t="s">
        <v>984</v>
      </c>
      <c r="N27" s="657"/>
      <c r="O27" s="657"/>
      <c r="P27" s="657"/>
      <c r="Q27" s="658"/>
    </row>
    <row r="28" spans="1:17" ht="52.5" customHeight="1" thickTop="1" thickBot="1" x14ac:dyDescent="0.35">
      <c r="A28" s="551" t="s">
        <v>29</v>
      </c>
      <c r="B28" s="131" t="s">
        <v>10</v>
      </c>
      <c r="C28" s="124" t="s">
        <v>872</v>
      </c>
      <c r="D28" s="124" t="s">
        <v>804</v>
      </c>
      <c r="E28" s="124" t="s">
        <v>803</v>
      </c>
      <c r="F28" s="550">
        <v>43647</v>
      </c>
      <c r="G28" s="550">
        <v>44012</v>
      </c>
      <c r="H28" s="124" t="s">
        <v>37</v>
      </c>
      <c r="I28" s="126" t="s">
        <v>11</v>
      </c>
      <c r="J28" s="128">
        <v>600000</v>
      </c>
      <c r="K28" s="581">
        <v>600000</v>
      </c>
      <c r="L28" s="581">
        <f t="shared" si="0"/>
        <v>0</v>
      </c>
      <c r="M28" s="656" t="s">
        <v>984</v>
      </c>
      <c r="N28" s="657"/>
      <c r="O28" s="657"/>
      <c r="P28" s="657"/>
      <c r="Q28" s="658"/>
    </row>
    <row r="29" spans="1:17" ht="52.5" customHeight="1" thickTop="1" thickBot="1" x14ac:dyDescent="0.35">
      <c r="A29" s="551" t="s">
        <v>29</v>
      </c>
      <c r="B29" s="131" t="s">
        <v>10</v>
      </c>
      <c r="C29" s="124" t="s">
        <v>872</v>
      </c>
      <c r="D29" s="679" t="s">
        <v>973</v>
      </c>
      <c r="E29" s="679" t="s">
        <v>972</v>
      </c>
      <c r="F29" s="550">
        <v>43891</v>
      </c>
      <c r="G29" s="550">
        <v>44012</v>
      </c>
      <c r="H29" s="124" t="s">
        <v>37</v>
      </c>
      <c r="I29" s="126" t="s">
        <v>11</v>
      </c>
      <c r="J29" s="581">
        <v>700000</v>
      </c>
      <c r="K29" s="581">
        <v>0</v>
      </c>
      <c r="L29" s="581">
        <f t="shared" si="0"/>
        <v>700000</v>
      </c>
      <c r="M29" s="124" t="s">
        <v>268</v>
      </c>
      <c r="N29" s="124" t="s">
        <v>270</v>
      </c>
      <c r="O29" s="124" t="s">
        <v>269</v>
      </c>
      <c r="P29" s="124" t="s">
        <v>772</v>
      </c>
      <c r="Q29" s="124" t="s">
        <v>992</v>
      </c>
    </row>
    <row r="30" spans="1:17" ht="69" customHeight="1" thickTop="1" thickBot="1" x14ac:dyDescent="0.35">
      <c r="A30" s="551">
        <v>29</v>
      </c>
      <c r="B30" s="131" t="s">
        <v>10</v>
      </c>
      <c r="C30" s="124" t="s">
        <v>872</v>
      </c>
      <c r="D30" s="124" t="s">
        <v>974</v>
      </c>
      <c r="E30" s="124" t="s">
        <v>994</v>
      </c>
      <c r="F30" s="550">
        <v>43891</v>
      </c>
      <c r="G30" s="550">
        <v>44012</v>
      </c>
      <c r="H30" s="124" t="s">
        <v>37</v>
      </c>
      <c r="I30" s="126" t="s">
        <v>11</v>
      </c>
      <c r="J30" s="128">
        <v>3000000</v>
      </c>
      <c r="K30" s="581">
        <v>0</v>
      </c>
      <c r="L30" s="581">
        <f t="shared" ref="L30" si="1">J30-K30</f>
        <v>3000000</v>
      </c>
      <c r="M30" s="129" t="s">
        <v>268</v>
      </c>
      <c r="N30" s="129" t="s">
        <v>270</v>
      </c>
      <c r="O30" s="129" t="s">
        <v>269</v>
      </c>
      <c r="P30" s="129" t="s">
        <v>991</v>
      </c>
      <c r="Q30" s="124" t="s">
        <v>996</v>
      </c>
    </row>
    <row r="31" spans="1:17" ht="42.6" thickTop="1" thickBot="1" x14ac:dyDescent="0.35">
      <c r="A31" s="551" t="s">
        <v>779</v>
      </c>
      <c r="B31" s="131" t="s">
        <v>10</v>
      </c>
      <c r="C31" s="124" t="s">
        <v>872</v>
      </c>
      <c r="D31" s="124" t="s">
        <v>805</v>
      </c>
      <c r="E31" s="124" t="s">
        <v>806</v>
      </c>
      <c r="F31" s="550">
        <v>43647</v>
      </c>
      <c r="G31" s="550">
        <v>44012</v>
      </c>
      <c r="H31" s="124" t="s">
        <v>37</v>
      </c>
      <c r="I31" s="126" t="s">
        <v>11</v>
      </c>
      <c r="J31" s="128">
        <v>3000000</v>
      </c>
      <c r="K31" s="581">
        <v>0</v>
      </c>
      <c r="L31" s="581">
        <f t="shared" si="0"/>
        <v>3000000</v>
      </c>
      <c r="M31" s="656" t="s">
        <v>993</v>
      </c>
      <c r="N31" s="657"/>
      <c r="O31" s="657"/>
      <c r="P31" s="657"/>
      <c r="Q31" s="658"/>
    </row>
    <row r="32" spans="1:17" ht="42.6" customHeight="1" thickTop="1" thickBot="1" x14ac:dyDescent="0.35">
      <c r="A32" s="551">
        <v>1</v>
      </c>
      <c r="B32" s="131" t="s">
        <v>10</v>
      </c>
      <c r="C32" s="124" t="s">
        <v>872</v>
      </c>
      <c r="D32" s="124" t="s">
        <v>808</v>
      </c>
      <c r="E32" s="131" t="s">
        <v>807</v>
      </c>
      <c r="F32" s="550">
        <v>43647</v>
      </c>
      <c r="G32" s="550">
        <v>44012</v>
      </c>
      <c r="H32" s="124" t="s">
        <v>37</v>
      </c>
      <c r="I32" s="126" t="s">
        <v>11</v>
      </c>
      <c r="J32" s="128">
        <v>3000000</v>
      </c>
      <c r="K32" s="581">
        <v>3000000</v>
      </c>
      <c r="L32" s="581">
        <f t="shared" si="0"/>
        <v>0</v>
      </c>
      <c r="M32" s="656" t="s">
        <v>995</v>
      </c>
      <c r="N32" s="657"/>
      <c r="O32" s="657"/>
      <c r="P32" s="657"/>
      <c r="Q32" s="658"/>
    </row>
    <row r="33" spans="1:17" ht="42.6" thickTop="1" thickBot="1" x14ac:dyDescent="0.35">
      <c r="A33" s="551">
        <v>2</v>
      </c>
      <c r="B33" s="131" t="s">
        <v>10</v>
      </c>
      <c r="C33" s="124" t="s">
        <v>872</v>
      </c>
      <c r="D33" s="124" t="s">
        <v>888</v>
      </c>
      <c r="E33" s="131" t="s">
        <v>809</v>
      </c>
      <c r="F33" s="550">
        <v>43647</v>
      </c>
      <c r="G33" s="550">
        <v>44012</v>
      </c>
      <c r="H33" s="124" t="s">
        <v>37</v>
      </c>
      <c r="I33" s="126" t="s">
        <v>11</v>
      </c>
      <c r="J33" s="128">
        <v>5700000</v>
      </c>
      <c r="K33" s="581">
        <v>3315990.95</v>
      </c>
      <c r="L33" s="581">
        <f t="shared" si="0"/>
        <v>2384009.0499999998</v>
      </c>
      <c r="M33" s="124" t="s">
        <v>877</v>
      </c>
      <c r="N33" s="124" t="s">
        <v>878</v>
      </c>
      <c r="O33" s="124" t="s">
        <v>886</v>
      </c>
      <c r="P33" s="124" t="s">
        <v>714</v>
      </c>
      <c r="Q33" s="124" t="s">
        <v>992</v>
      </c>
    </row>
    <row r="34" spans="1:17" ht="42.6" thickTop="1" thickBot="1" x14ac:dyDescent="0.35">
      <c r="A34" s="551">
        <v>6</v>
      </c>
      <c r="B34" s="131" t="s">
        <v>10</v>
      </c>
      <c r="C34" s="124" t="s">
        <v>872</v>
      </c>
      <c r="D34" s="124" t="s">
        <v>810</v>
      </c>
      <c r="E34" s="131" t="s">
        <v>811</v>
      </c>
      <c r="F34" s="550">
        <v>43647</v>
      </c>
      <c r="G34" s="550">
        <v>44012</v>
      </c>
      <c r="H34" s="124" t="s">
        <v>37</v>
      </c>
      <c r="I34" s="126" t="s">
        <v>11</v>
      </c>
      <c r="J34" s="128">
        <v>3000000</v>
      </c>
      <c r="K34" s="581">
        <v>886460.95</v>
      </c>
      <c r="L34" s="581">
        <f>J34+K34</f>
        <v>3886460.95</v>
      </c>
      <c r="M34" s="124" t="s">
        <v>268</v>
      </c>
      <c r="N34" s="124" t="s">
        <v>270</v>
      </c>
      <c r="O34" s="124" t="s">
        <v>269</v>
      </c>
      <c r="P34" s="124" t="s">
        <v>714</v>
      </c>
      <c r="Q34" s="124" t="s">
        <v>992</v>
      </c>
    </row>
    <row r="35" spans="1:17" ht="42.6" customHeight="1" thickTop="1" thickBot="1" x14ac:dyDescent="0.35">
      <c r="A35" s="551">
        <v>29</v>
      </c>
      <c r="B35" s="131" t="s">
        <v>10</v>
      </c>
      <c r="C35" s="124" t="s">
        <v>872</v>
      </c>
      <c r="D35" s="124" t="s">
        <v>813</v>
      </c>
      <c r="E35" s="131" t="s">
        <v>812</v>
      </c>
      <c r="F35" s="550">
        <v>43647</v>
      </c>
      <c r="G35" s="550">
        <v>44012</v>
      </c>
      <c r="H35" s="124" t="s">
        <v>37</v>
      </c>
      <c r="I35" s="126" t="s">
        <v>11</v>
      </c>
      <c r="J35" s="128">
        <v>800000</v>
      </c>
      <c r="K35" s="581">
        <v>800000</v>
      </c>
      <c r="L35" s="581">
        <f t="shared" si="0"/>
        <v>0</v>
      </c>
      <c r="M35" s="656" t="s">
        <v>993</v>
      </c>
      <c r="N35" s="657"/>
      <c r="O35" s="657"/>
      <c r="P35" s="657"/>
      <c r="Q35" s="658"/>
    </row>
    <row r="36" spans="1:17" ht="69" customHeight="1" thickTop="1" thickBot="1" x14ac:dyDescent="0.35">
      <c r="A36" s="551">
        <v>12</v>
      </c>
      <c r="B36" s="131" t="s">
        <v>10</v>
      </c>
      <c r="C36" s="124" t="s">
        <v>872</v>
      </c>
      <c r="D36" s="124" t="s">
        <v>823</v>
      </c>
      <c r="E36" s="131" t="s">
        <v>819</v>
      </c>
      <c r="F36" s="550">
        <v>43647</v>
      </c>
      <c r="G36" s="550">
        <v>44012</v>
      </c>
      <c r="H36" s="124" t="s">
        <v>37</v>
      </c>
      <c r="I36" s="126" t="s">
        <v>11</v>
      </c>
      <c r="J36" s="128">
        <v>7178993.7800000003</v>
      </c>
      <c r="K36" s="581">
        <v>1040431.4</v>
      </c>
      <c r="L36" s="581">
        <f>J36+K36</f>
        <v>8219425.1800000006</v>
      </c>
      <c r="M36" s="124" t="s">
        <v>268</v>
      </c>
      <c r="N36" s="124" t="s">
        <v>270</v>
      </c>
      <c r="O36" s="124" t="s">
        <v>269</v>
      </c>
      <c r="P36" s="129" t="s">
        <v>997</v>
      </c>
      <c r="Q36" s="124" t="s">
        <v>996</v>
      </c>
    </row>
    <row r="37" spans="1:17" ht="56.4" thickTop="1" thickBot="1" x14ac:dyDescent="0.35">
      <c r="A37" s="551">
        <v>14</v>
      </c>
      <c r="B37" s="131" t="s">
        <v>10</v>
      </c>
      <c r="C37" s="124" t="s">
        <v>872</v>
      </c>
      <c r="D37" s="124" t="s">
        <v>824</v>
      </c>
      <c r="E37" s="131" t="s">
        <v>818</v>
      </c>
      <c r="F37" s="550">
        <v>43647</v>
      </c>
      <c r="G37" s="550">
        <v>44012</v>
      </c>
      <c r="H37" s="124" t="s">
        <v>37</v>
      </c>
      <c r="I37" s="126" t="s">
        <v>11</v>
      </c>
      <c r="J37" s="128">
        <v>3600000</v>
      </c>
      <c r="K37" s="581">
        <v>1400000</v>
      </c>
      <c r="L37" s="581">
        <f>J37+K37</f>
        <v>5000000</v>
      </c>
      <c r="M37" s="124" t="s">
        <v>268</v>
      </c>
      <c r="N37" s="124" t="s">
        <v>270</v>
      </c>
      <c r="O37" s="124" t="s">
        <v>269</v>
      </c>
      <c r="P37" s="129" t="s">
        <v>998</v>
      </c>
      <c r="Q37" s="124" t="s">
        <v>996</v>
      </c>
    </row>
    <row r="38" spans="1:17" ht="54" thickTop="1" thickBot="1" x14ac:dyDescent="0.35">
      <c r="A38" s="551">
        <v>24</v>
      </c>
      <c r="B38" s="131" t="s">
        <v>10</v>
      </c>
      <c r="C38" s="124" t="s">
        <v>872</v>
      </c>
      <c r="D38" s="124" t="s">
        <v>825</v>
      </c>
      <c r="E38" s="131" t="s">
        <v>817</v>
      </c>
      <c r="F38" s="550">
        <v>43647</v>
      </c>
      <c r="G38" s="550">
        <v>44012</v>
      </c>
      <c r="H38" s="124" t="s">
        <v>37</v>
      </c>
      <c r="I38" s="126" t="s">
        <v>11</v>
      </c>
      <c r="J38" s="128">
        <v>400000</v>
      </c>
      <c r="K38" s="581">
        <v>350000</v>
      </c>
      <c r="L38" s="581">
        <f t="shared" si="0"/>
        <v>50000</v>
      </c>
      <c r="M38" s="124" t="s">
        <v>268</v>
      </c>
      <c r="N38" s="124" t="s">
        <v>270</v>
      </c>
      <c r="O38" s="124" t="s">
        <v>269</v>
      </c>
      <c r="P38" s="124" t="s">
        <v>1000</v>
      </c>
      <c r="Q38" s="124" t="s">
        <v>999</v>
      </c>
    </row>
    <row r="39" spans="1:17" ht="54" thickTop="1" thickBot="1" x14ac:dyDescent="0.35">
      <c r="A39" s="551">
        <v>4</v>
      </c>
      <c r="B39" s="131" t="s">
        <v>10</v>
      </c>
      <c r="C39" s="124" t="s">
        <v>873</v>
      </c>
      <c r="D39" s="124" t="s">
        <v>846</v>
      </c>
      <c r="E39" s="131" t="s">
        <v>822</v>
      </c>
      <c r="F39" s="550">
        <v>43647</v>
      </c>
      <c r="G39" s="550">
        <v>44012</v>
      </c>
      <c r="H39" s="124" t="s">
        <v>37</v>
      </c>
      <c r="I39" s="126" t="s">
        <v>11</v>
      </c>
      <c r="J39" s="128">
        <v>300000</v>
      </c>
      <c r="K39" s="581">
        <v>250000</v>
      </c>
      <c r="L39" s="581">
        <f t="shared" si="0"/>
        <v>50000</v>
      </c>
      <c r="M39" s="124" t="s">
        <v>268</v>
      </c>
      <c r="N39" s="124" t="s">
        <v>270</v>
      </c>
      <c r="O39" s="124" t="s">
        <v>269</v>
      </c>
      <c r="P39" s="124" t="s">
        <v>1000</v>
      </c>
      <c r="Q39" s="124" t="s">
        <v>999</v>
      </c>
    </row>
    <row r="40" spans="1:17" ht="54" thickTop="1" thickBot="1" x14ac:dyDescent="0.35">
      <c r="A40" s="551">
        <v>6</v>
      </c>
      <c r="B40" s="131" t="s">
        <v>10</v>
      </c>
      <c r="C40" s="124" t="s">
        <v>872</v>
      </c>
      <c r="D40" s="124" t="s">
        <v>826</v>
      </c>
      <c r="E40" s="131" t="s">
        <v>816</v>
      </c>
      <c r="F40" s="550">
        <v>43647</v>
      </c>
      <c r="G40" s="550">
        <v>44012</v>
      </c>
      <c r="H40" s="124" t="s">
        <v>37</v>
      </c>
      <c r="I40" s="126" t="s">
        <v>11</v>
      </c>
      <c r="J40" s="128">
        <v>300000</v>
      </c>
      <c r="K40" s="581">
        <v>250000</v>
      </c>
      <c r="L40" s="581">
        <f t="shared" si="0"/>
        <v>50000</v>
      </c>
      <c r="M40" s="124" t="s">
        <v>268</v>
      </c>
      <c r="N40" s="124" t="s">
        <v>270</v>
      </c>
      <c r="O40" s="124" t="s">
        <v>269</v>
      </c>
      <c r="P40" s="124" t="s">
        <v>1000</v>
      </c>
      <c r="Q40" s="124" t="s">
        <v>999</v>
      </c>
    </row>
    <row r="41" spans="1:17" ht="54" thickTop="1" thickBot="1" x14ac:dyDescent="0.35">
      <c r="A41" s="551">
        <v>5</v>
      </c>
      <c r="B41" s="131" t="s">
        <v>10</v>
      </c>
      <c r="C41" s="124" t="s">
        <v>872</v>
      </c>
      <c r="D41" s="124" t="s">
        <v>827</v>
      </c>
      <c r="E41" s="131" t="s">
        <v>820</v>
      </c>
      <c r="F41" s="550">
        <v>43647</v>
      </c>
      <c r="G41" s="550">
        <v>44012</v>
      </c>
      <c r="H41" s="124" t="s">
        <v>37</v>
      </c>
      <c r="I41" s="126" t="s">
        <v>11</v>
      </c>
      <c r="J41" s="128">
        <v>400000</v>
      </c>
      <c r="K41" s="581">
        <v>350000</v>
      </c>
      <c r="L41" s="581">
        <f t="shared" si="0"/>
        <v>50000</v>
      </c>
      <c r="M41" s="124" t="s">
        <v>268</v>
      </c>
      <c r="N41" s="124" t="s">
        <v>270</v>
      </c>
      <c r="O41" s="124" t="s">
        <v>269</v>
      </c>
      <c r="P41" s="124" t="s">
        <v>1000</v>
      </c>
      <c r="Q41" s="124" t="s">
        <v>999</v>
      </c>
    </row>
    <row r="42" spans="1:17" ht="54" thickTop="1" thickBot="1" x14ac:dyDescent="0.35">
      <c r="A42" s="551">
        <v>9</v>
      </c>
      <c r="B42" s="131" t="s">
        <v>10</v>
      </c>
      <c r="C42" s="124" t="s">
        <v>872</v>
      </c>
      <c r="D42" s="124" t="s">
        <v>814</v>
      </c>
      <c r="E42" s="131" t="s">
        <v>821</v>
      </c>
      <c r="F42" s="550">
        <v>43647</v>
      </c>
      <c r="G42" s="550">
        <v>44012</v>
      </c>
      <c r="H42" s="124" t="s">
        <v>37</v>
      </c>
      <c r="I42" s="126" t="s">
        <v>11</v>
      </c>
      <c r="J42" s="128">
        <v>400000</v>
      </c>
      <c r="K42" s="581">
        <v>350000</v>
      </c>
      <c r="L42" s="581">
        <f t="shared" si="0"/>
        <v>50000</v>
      </c>
      <c r="M42" s="124" t="s">
        <v>268</v>
      </c>
      <c r="N42" s="124" t="s">
        <v>270</v>
      </c>
      <c r="O42" s="124" t="s">
        <v>269</v>
      </c>
      <c r="P42" s="124" t="s">
        <v>1000</v>
      </c>
      <c r="Q42" s="124" t="s">
        <v>999</v>
      </c>
    </row>
    <row r="43" spans="1:17" ht="67.2" thickTop="1" thickBot="1" x14ac:dyDescent="0.35">
      <c r="A43" s="551">
        <v>13</v>
      </c>
      <c r="B43" s="131" t="s">
        <v>10</v>
      </c>
      <c r="C43" s="124" t="s">
        <v>872</v>
      </c>
      <c r="D43" s="124" t="s">
        <v>815</v>
      </c>
      <c r="E43" s="131" t="s">
        <v>830</v>
      </c>
      <c r="F43" s="550">
        <v>43647</v>
      </c>
      <c r="G43" s="550">
        <v>44012</v>
      </c>
      <c r="H43" s="124" t="s">
        <v>37</v>
      </c>
      <c r="I43" s="126" t="s">
        <v>11</v>
      </c>
      <c r="J43" s="128">
        <v>400000</v>
      </c>
      <c r="K43" s="581">
        <v>350000</v>
      </c>
      <c r="L43" s="581">
        <f t="shared" si="0"/>
        <v>50000</v>
      </c>
      <c r="M43" s="124" t="s">
        <v>268</v>
      </c>
      <c r="N43" s="124" t="s">
        <v>270</v>
      </c>
      <c r="O43" s="124" t="s">
        <v>269</v>
      </c>
      <c r="P43" s="124" t="s">
        <v>1000</v>
      </c>
      <c r="Q43" s="124" t="s">
        <v>999</v>
      </c>
    </row>
    <row r="44" spans="1:17" ht="54" thickTop="1" thickBot="1" x14ac:dyDescent="0.35">
      <c r="A44" s="551">
        <v>15</v>
      </c>
      <c r="B44" s="131" t="s">
        <v>10</v>
      </c>
      <c r="C44" s="124" t="s">
        <v>872</v>
      </c>
      <c r="D44" s="124" t="s">
        <v>828</v>
      </c>
      <c r="E44" s="131" t="s">
        <v>829</v>
      </c>
      <c r="F44" s="550">
        <v>43647</v>
      </c>
      <c r="G44" s="550">
        <v>44012</v>
      </c>
      <c r="H44" s="124" t="s">
        <v>37</v>
      </c>
      <c r="I44" s="126" t="s">
        <v>11</v>
      </c>
      <c r="J44" s="128">
        <v>400000</v>
      </c>
      <c r="K44" s="581">
        <v>350000</v>
      </c>
      <c r="L44" s="581">
        <f t="shared" si="0"/>
        <v>50000</v>
      </c>
      <c r="M44" s="124" t="s">
        <v>268</v>
      </c>
      <c r="N44" s="124" t="s">
        <v>270</v>
      </c>
      <c r="O44" s="124" t="s">
        <v>269</v>
      </c>
      <c r="P44" s="124" t="s">
        <v>1000</v>
      </c>
      <c r="Q44" s="124" t="s">
        <v>999</v>
      </c>
    </row>
    <row r="45" spans="1:17" ht="42.6" thickTop="1" thickBot="1" x14ac:dyDescent="0.35">
      <c r="A45" s="551">
        <v>23</v>
      </c>
      <c r="B45" s="131" t="s">
        <v>10</v>
      </c>
      <c r="C45" s="124" t="s">
        <v>872</v>
      </c>
      <c r="D45" s="124" t="s">
        <v>831</v>
      </c>
      <c r="E45" s="131" t="s">
        <v>832</v>
      </c>
      <c r="F45" s="550">
        <v>43647</v>
      </c>
      <c r="G45" s="550">
        <v>44012</v>
      </c>
      <c r="H45" s="124" t="s">
        <v>37</v>
      </c>
      <c r="I45" s="126" t="s">
        <v>11</v>
      </c>
      <c r="J45" s="128">
        <v>400000</v>
      </c>
      <c r="K45" s="581">
        <v>350000</v>
      </c>
      <c r="L45" s="581">
        <f t="shared" si="0"/>
        <v>50000</v>
      </c>
      <c r="M45" s="124" t="s">
        <v>268</v>
      </c>
      <c r="N45" s="124" t="s">
        <v>270</v>
      </c>
      <c r="O45" s="124" t="s">
        <v>269</v>
      </c>
      <c r="P45" s="124" t="s">
        <v>1000</v>
      </c>
      <c r="Q45" s="124" t="s">
        <v>999</v>
      </c>
    </row>
    <row r="46" spans="1:17" ht="54" thickTop="1" thickBot="1" x14ac:dyDescent="0.35">
      <c r="A46" s="551">
        <v>29</v>
      </c>
      <c r="B46" s="131" t="s">
        <v>10</v>
      </c>
      <c r="C46" s="124" t="s">
        <v>872</v>
      </c>
      <c r="D46" s="124" t="s">
        <v>833</v>
      </c>
      <c r="E46" s="131" t="s">
        <v>834</v>
      </c>
      <c r="F46" s="550">
        <v>43647</v>
      </c>
      <c r="G46" s="550">
        <v>44012</v>
      </c>
      <c r="H46" s="124" t="s">
        <v>37</v>
      </c>
      <c r="I46" s="126" t="s">
        <v>11</v>
      </c>
      <c r="J46" s="128">
        <v>400000</v>
      </c>
      <c r="K46" s="581">
        <v>350000</v>
      </c>
      <c r="L46" s="581">
        <f t="shared" si="0"/>
        <v>50000</v>
      </c>
      <c r="M46" s="124" t="s">
        <v>268</v>
      </c>
      <c r="N46" s="124" t="s">
        <v>270</v>
      </c>
      <c r="O46" s="124" t="s">
        <v>269</v>
      </c>
      <c r="P46" s="124" t="s">
        <v>1000</v>
      </c>
      <c r="Q46" s="124" t="s">
        <v>999</v>
      </c>
    </row>
    <row r="47" spans="1:17" ht="54" thickTop="1" thickBot="1" x14ac:dyDescent="0.35">
      <c r="A47" s="551">
        <v>29</v>
      </c>
      <c r="B47" s="131" t="s">
        <v>10</v>
      </c>
      <c r="C47" s="124" t="s">
        <v>872</v>
      </c>
      <c r="D47" s="124" t="s">
        <v>835</v>
      </c>
      <c r="E47" s="131" t="s">
        <v>836</v>
      </c>
      <c r="F47" s="550">
        <v>43647</v>
      </c>
      <c r="G47" s="550">
        <v>44012</v>
      </c>
      <c r="H47" s="124" t="s">
        <v>37</v>
      </c>
      <c r="I47" s="126" t="s">
        <v>11</v>
      </c>
      <c r="J47" s="128">
        <v>400000</v>
      </c>
      <c r="K47" s="581">
        <v>350000</v>
      </c>
      <c r="L47" s="581">
        <f t="shared" si="0"/>
        <v>50000</v>
      </c>
      <c r="M47" s="124" t="s">
        <v>268</v>
      </c>
      <c r="N47" s="124" t="s">
        <v>270</v>
      </c>
      <c r="O47" s="124" t="s">
        <v>269</v>
      </c>
      <c r="P47" s="124" t="s">
        <v>1000</v>
      </c>
      <c r="Q47" s="124" t="s">
        <v>999</v>
      </c>
    </row>
    <row r="48" spans="1:17" ht="54" thickTop="1" thickBot="1" x14ac:dyDescent="0.35">
      <c r="A48" s="551" t="s">
        <v>843</v>
      </c>
      <c r="B48" s="131" t="s">
        <v>10</v>
      </c>
      <c r="C48" s="124" t="s">
        <v>872</v>
      </c>
      <c r="D48" s="124" t="s">
        <v>837</v>
      </c>
      <c r="E48" s="131" t="s">
        <v>839</v>
      </c>
      <c r="F48" s="550">
        <v>43647</v>
      </c>
      <c r="G48" s="550">
        <v>44012</v>
      </c>
      <c r="H48" s="124" t="s">
        <v>37</v>
      </c>
      <c r="I48" s="126" t="s">
        <v>11</v>
      </c>
      <c r="J48" s="128">
        <v>400000</v>
      </c>
      <c r="K48" s="581">
        <v>350000</v>
      </c>
      <c r="L48" s="581">
        <f t="shared" si="0"/>
        <v>50000</v>
      </c>
      <c r="M48" s="124" t="s">
        <v>268</v>
      </c>
      <c r="N48" s="124" t="s">
        <v>270</v>
      </c>
      <c r="O48" s="124" t="s">
        <v>269</v>
      </c>
      <c r="P48" s="124" t="s">
        <v>1000</v>
      </c>
      <c r="Q48" s="124" t="s">
        <v>999</v>
      </c>
    </row>
    <row r="49" spans="1:17" ht="54" thickTop="1" thickBot="1" x14ac:dyDescent="0.35">
      <c r="A49" s="551">
        <v>21</v>
      </c>
      <c r="B49" s="131" t="s">
        <v>10</v>
      </c>
      <c r="C49" s="124" t="s">
        <v>872</v>
      </c>
      <c r="D49" s="124" t="s">
        <v>945</v>
      </c>
      <c r="E49" s="131" t="s">
        <v>839</v>
      </c>
      <c r="F49" s="550">
        <v>43647</v>
      </c>
      <c r="G49" s="550">
        <v>44012</v>
      </c>
      <c r="H49" s="124" t="s">
        <v>37</v>
      </c>
      <c r="I49" s="126" t="s">
        <v>11</v>
      </c>
      <c r="J49" s="128">
        <v>400000</v>
      </c>
      <c r="K49" s="581">
        <v>350000</v>
      </c>
      <c r="L49" s="581">
        <f t="shared" si="0"/>
        <v>50000</v>
      </c>
      <c r="M49" s="124" t="s">
        <v>268</v>
      </c>
      <c r="N49" s="124" t="s">
        <v>270</v>
      </c>
      <c r="O49" s="124" t="s">
        <v>269</v>
      </c>
      <c r="P49" s="124" t="s">
        <v>1000</v>
      </c>
      <c r="Q49" s="124" t="s">
        <v>999</v>
      </c>
    </row>
    <row r="50" spans="1:17" ht="54" thickTop="1" thickBot="1" x14ac:dyDescent="0.35">
      <c r="A50" s="551">
        <v>19</v>
      </c>
      <c r="B50" s="131" t="s">
        <v>10</v>
      </c>
      <c r="C50" s="124" t="s">
        <v>872</v>
      </c>
      <c r="D50" s="124" t="s">
        <v>838</v>
      </c>
      <c r="E50" s="131" t="s">
        <v>840</v>
      </c>
      <c r="F50" s="550">
        <v>43647</v>
      </c>
      <c r="G50" s="550">
        <v>44012</v>
      </c>
      <c r="H50" s="124" t="s">
        <v>37</v>
      </c>
      <c r="I50" s="126" t="s">
        <v>11</v>
      </c>
      <c r="J50" s="128">
        <v>400000</v>
      </c>
      <c r="K50" s="581">
        <v>350000</v>
      </c>
      <c r="L50" s="581">
        <f t="shared" si="0"/>
        <v>50000</v>
      </c>
      <c r="M50" s="124" t="s">
        <v>268</v>
      </c>
      <c r="N50" s="124" t="s">
        <v>270</v>
      </c>
      <c r="O50" s="124" t="s">
        <v>269</v>
      </c>
      <c r="P50" s="124" t="s">
        <v>1000</v>
      </c>
      <c r="Q50" s="124" t="s">
        <v>999</v>
      </c>
    </row>
    <row r="51" spans="1:17" ht="54" thickTop="1" thickBot="1" x14ac:dyDescent="0.35">
      <c r="A51" s="551">
        <v>2</v>
      </c>
      <c r="B51" s="131" t="s">
        <v>10</v>
      </c>
      <c r="C51" s="124" t="s">
        <v>872</v>
      </c>
      <c r="D51" s="124" t="s">
        <v>841</v>
      </c>
      <c r="E51" s="131" t="s">
        <v>842</v>
      </c>
      <c r="F51" s="550">
        <v>43647</v>
      </c>
      <c r="G51" s="550">
        <v>44012</v>
      </c>
      <c r="H51" s="124" t="s">
        <v>37</v>
      </c>
      <c r="I51" s="126" t="s">
        <v>11</v>
      </c>
      <c r="J51" s="128">
        <v>400000</v>
      </c>
      <c r="K51" s="581">
        <v>350000</v>
      </c>
      <c r="L51" s="581">
        <f t="shared" si="0"/>
        <v>50000</v>
      </c>
      <c r="M51" s="124" t="s">
        <v>268</v>
      </c>
      <c r="N51" s="124" t="s">
        <v>270</v>
      </c>
      <c r="O51" s="124" t="s">
        <v>269</v>
      </c>
      <c r="P51" s="124" t="s">
        <v>1000</v>
      </c>
      <c r="Q51" s="124" t="s">
        <v>999</v>
      </c>
    </row>
    <row r="52" spans="1:17" ht="52.5" customHeight="1" thickTop="1" thickBot="1" x14ac:dyDescent="0.35">
      <c r="A52" s="549" t="s">
        <v>777</v>
      </c>
      <c r="B52" s="131" t="s">
        <v>10</v>
      </c>
      <c r="C52" s="552" t="s">
        <v>287</v>
      </c>
      <c r="D52" s="124" t="s">
        <v>944</v>
      </c>
      <c r="E52" s="131" t="s">
        <v>716</v>
      </c>
      <c r="F52" s="550">
        <v>43647</v>
      </c>
      <c r="G52" s="550">
        <v>44012</v>
      </c>
      <c r="H52" s="124" t="s">
        <v>38</v>
      </c>
      <c r="I52" s="126" t="s">
        <v>11</v>
      </c>
      <c r="J52" s="127">
        <v>200000</v>
      </c>
      <c r="K52" s="582">
        <v>0</v>
      </c>
      <c r="L52" s="581">
        <f t="shared" si="0"/>
        <v>200000</v>
      </c>
      <c r="M52" s="124" t="s">
        <v>43</v>
      </c>
      <c r="N52" s="124" t="s">
        <v>496</v>
      </c>
      <c r="O52" s="124" t="s">
        <v>307</v>
      </c>
      <c r="P52" s="131" t="s">
        <v>717</v>
      </c>
      <c r="Q52" s="124" t="s">
        <v>507</v>
      </c>
    </row>
    <row r="53" spans="1:17" ht="70.2" thickTop="1" thickBot="1" x14ac:dyDescent="0.35">
      <c r="A53" s="549" t="s">
        <v>29</v>
      </c>
      <c r="B53" s="131" t="s">
        <v>10</v>
      </c>
      <c r="C53" s="552" t="s">
        <v>287</v>
      </c>
      <c r="D53" s="124" t="s">
        <v>718</v>
      </c>
      <c r="E53" s="124" t="s">
        <v>719</v>
      </c>
      <c r="F53" s="550">
        <v>43647</v>
      </c>
      <c r="G53" s="550">
        <v>44012</v>
      </c>
      <c r="H53" s="124" t="s">
        <v>38</v>
      </c>
      <c r="I53" s="126" t="s">
        <v>11</v>
      </c>
      <c r="J53" s="128">
        <v>350000</v>
      </c>
      <c r="K53" s="581">
        <v>0</v>
      </c>
      <c r="L53" s="581">
        <f t="shared" si="0"/>
        <v>350000</v>
      </c>
      <c r="M53" s="124" t="s">
        <v>43</v>
      </c>
      <c r="N53" s="124" t="s">
        <v>44</v>
      </c>
      <c r="O53" s="124" t="s">
        <v>47</v>
      </c>
      <c r="P53" s="124" t="s">
        <v>720</v>
      </c>
      <c r="Q53" s="124" t="s">
        <v>721</v>
      </c>
    </row>
    <row r="54" spans="1:17" ht="56.4" thickTop="1" thickBot="1" x14ac:dyDescent="0.35">
      <c r="A54" s="549" t="s">
        <v>775</v>
      </c>
      <c r="B54" s="552" t="s">
        <v>10</v>
      </c>
      <c r="C54" s="552" t="s">
        <v>287</v>
      </c>
      <c r="D54" s="124" t="s">
        <v>946</v>
      </c>
      <c r="E54" s="124" t="s">
        <v>722</v>
      </c>
      <c r="F54" s="550">
        <v>43647</v>
      </c>
      <c r="G54" s="550">
        <v>44012</v>
      </c>
      <c r="H54" s="124" t="s">
        <v>38</v>
      </c>
      <c r="I54" s="126" t="s">
        <v>11</v>
      </c>
      <c r="J54" s="127">
        <v>150000</v>
      </c>
      <c r="K54" s="582">
        <v>0</v>
      </c>
      <c r="L54" s="581">
        <f t="shared" si="0"/>
        <v>150000</v>
      </c>
      <c r="M54" s="124" t="s">
        <v>308</v>
      </c>
      <c r="N54" s="124" t="s">
        <v>306</v>
      </c>
      <c r="O54" s="124" t="s">
        <v>307</v>
      </c>
      <c r="P54" s="124" t="s">
        <v>723</v>
      </c>
      <c r="Q54" s="124" t="s">
        <v>505</v>
      </c>
    </row>
    <row r="55" spans="1:17" ht="97.8" thickTop="1" thickBot="1" x14ac:dyDescent="0.35">
      <c r="A55" s="551" t="s">
        <v>776</v>
      </c>
      <c r="B55" s="131" t="s">
        <v>10</v>
      </c>
      <c r="C55" s="552" t="s">
        <v>287</v>
      </c>
      <c r="D55" s="124" t="s">
        <v>724</v>
      </c>
      <c r="E55" s="124" t="s">
        <v>726</v>
      </c>
      <c r="F55" s="550">
        <v>43647</v>
      </c>
      <c r="G55" s="550">
        <v>44012</v>
      </c>
      <c r="H55" s="124" t="s">
        <v>38</v>
      </c>
      <c r="I55" s="126" t="s">
        <v>11</v>
      </c>
      <c r="J55" s="128">
        <v>180000</v>
      </c>
      <c r="K55" s="581">
        <v>0</v>
      </c>
      <c r="L55" s="581">
        <f t="shared" si="0"/>
        <v>180000</v>
      </c>
      <c r="M55" s="124" t="s">
        <v>308</v>
      </c>
      <c r="N55" s="124" t="s">
        <v>306</v>
      </c>
      <c r="O55" s="124" t="s">
        <v>307</v>
      </c>
      <c r="P55" s="124" t="s">
        <v>725</v>
      </c>
      <c r="Q55" s="124" t="s">
        <v>500</v>
      </c>
    </row>
    <row r="56" spans="1:17" ht="42.6" customHeight="1" thickTop="1" thickBot="1" x14ac:dyDescent="0.35">
      <c r="A56" s="551" t="s">
        <v>19</v>
      </c>
      <c r="B56" s="131" t="s">
        <v>10</v>
      </c>
      <c r="C56" s="552" t="s">
        <v>287</v>
      </c>
      <c r="D56" s="124" t="s">
        <v>727</v>
      </c>
      <c r="E56" s="124" t="s">
        <v>728</v>
      </c>
      <c r="F56" s="550">
        <v>43647</v>
      </c>
      <c r="G56" s="550">
        <v>44012</v>
      </c>
      <c r="H56" s="124" t="s">
        <v>38</v>
      </c>
      <c r="I56" s="126" t="s">
        <v>11</v>
      </c>
      <c r="J56" s="128">
        <v>300000</v>
      </c>
      <c r="K56" s="581">
        <v>300000</v>
      </c>
      <c r="L56" s="581">
        <f t="shared" si="0"/>
        <v>0</v>
      </c>
      <c r="M56" s="656" t="s">
        <v>993</v>
      </c>
      <c r="N56" s="657"/>
      <c r="O56" s="657"/>
      <c r="P56" s="657"/>
      <c r="Q56" s="658"/>
    </row>
    <row r="57" spans="1:17" ht="42.6" customHeight="1" thickTop="1" thickBot="1" x14ac:dyDescent="0.35">
      <c r="A57" s="549" t="s">
        <v>19</v>
      </c>
      <c r="B57" s="131" t="s">
        <v>10</v>
      </c>
      <c r="C57" s="552" t="s">
        <v>287</v>
      </c>
      <c r="D57" s="124" t="s">
        <v>729</v>
      </c>
      <c r="E57" s="124" t="s">
        <v>760</v>
      </c>
      <c r="F57" s="550">
        <v>43647</v>
      </c>
      <c r="G57" s="550">
        <v>44012</v>
      </c>
      <c r="H57" s="124" t="s">
        <v>37</v>
      </c>
      <c r="I57" s="126" t="s">
        <v>11</v>
      </c>
      <c r="J57" s="128">
        <v>800000</v>
      </c>
      <c r="K57" s="581">
        <v>800000</v>
      </c>
      <c r="L57" s="581">
        <f t="shared" si="0"/>
        <v>0</v>
      </c>
      <c r="M57" s="656" t="s">
        <v>993</v>
      </c>
      <c r="N57" s="657"/>
      <c r="O57" s="657"/>
      <c r="P57" s="657"/>
      <c r="Q57" s="658"/>
    </row>
    <row r="58" spans="1:17" ht="42.6" thickTop="1" thickBot="1" x14ac:dyDescent="0.35">
      <c r="A58" s="549" t="s">
        <v>29</v>
      </c>
      <c r="B58" s="131" t="s">
        <v>10</v>
      </c>
      <c r="C58" s="552" t="s">
        <v>287</v>
      </c>
      <c r="D58" s="124" t="s">
        <v>730</v>
      </c>
      <c r="E58" s="124" t="s">
        <v>731</v>
      </c>
      <c r="F58" s="550">
        <v>43647</v>
      </c>
      <c r="G58" s="550">
        <v>44012</v>
      </c>
      <c r="H58" s="124" t="s">
        <v>38</v>
      </c>
      <c r="I58" s="126" t="s">
        <v>11</v>
      </c>
      <c r="J58" s="127">
        <v>600000</v>
      </c>
      <c r="K58" s="582">
        <v>200000</v>
      </c>
      <c r="L58" s="581">
        <f t="shared" si="0"/>
        <v>400000</v>
      </c>
      <c r="M58" s="124" t="s">
        <v>268</v>
      </c>
      <c r="N58" s="124" t="s">
        <v>496</v>
      </c>
      <c r="O58" s="124" t="s">
        <v>269</v>
      </c>
      <c r="P58" s="124" t="s">
        <v>732</v>
      </c>
      <c r="Q58" s="124" t="s">
        <v>506</v>
      </c>
    </row>
    <row r="59" spans="1:17" ht="42.6" thickTop="1" thickBot="1" x14ac:dyDescent="0.35">
      <c r="A59" s="549" t="s">
        <v>19</v>
      </c>
      <c r="B59" s="131" t="s">
        <v>10</v>
      </c>
      <c r="C59" s="552" t="s">
        <v>287</v>
      </c>
      <c r="D59" s="124" t="s">
        <v>742</v>
      </c>
      <c r="E59" s="124" t="s">
        <v>734</v>
      </c>
      <c r="F59" s="550">
        <v>43647</v>
      </c>
      <c r="G59" s="550">
        <v>44012</v>
      </c>
      <c r="H59" s="124" t="s">
        <v>38</v>
      </c>
      <c r="I59" s="126" t="s">
        <v>11</v>
      </c>
      <c r="J59" s="127">
        <v>10000</v>
      </c>
      <c r="K59" s="582">
        <v>0</v>
      </c>
      <c r="L59" s="581">
        <f t="shared" si="0"/>
        <v>10000</v>
      </c>
      <c r="M59" s="124" t="s">
        <v>268</v>
      </c>
      <c r="N59" s="124" t="s">
        <v>496</v>
      </c>
      <c r="O59" s="124" t="s">
        <v>501</v>
      </c>
      <c r="P59" s="124" t="s">
        <v>733</v>
      </c>
      <c r="Q59" s="124" t="s">
        <v>506</v>
      </c>
    </row>
    <row r="60" spans="1:17" ht="42.6" thickTop="1" thickBot="1" x14ac:dyDescent="0.35">
      <c r="A60" s="549" t="s">
        <v>19</v>
      </c>
      <c r="B60" s="131" t="s">
        <v>10</v>
      </c>
      <c r="C60" s="552" t="s">
        <v>287</v>
      </c>
      <c r="D60" s="124" t="s">
        <v>741</v>
      </c>
      <c r="E60" s="124" t="s">
        <v>735</v>
      </c>
      <c r="F60" s="550">
        <v>43647</v>
      </c>
      <c r="G60" s="550">
        <v>44012</v>
      </c>
      <c r="H60" s="124" t="s">
        <v>37</v>
      </c>
      <c r="I60" s="126" t="s">
        <v>11</v>
      </c>
      <c r="J60" s="127">
        <v>50000</v>
      </c>
      <c r="K60" s="582">
        <v>0</v>
      </c>
      <c r="L60" s="581">
        <f t="shared" si="0"/>
        <v>50000</v>
      </c>
      <c r="M60" s="124" t="s">
        <v>268</v>
      </c>
      <c r="N60" s="124" t="s">
        <v>496</v>
      </c>
      <c r="O60" s="124" t="s">
        <v>501</v>
      </c>
      <c r="P60" s="124" t="s">
        <v>736</v>
      </c>
      <c r="Q60" s="124" t="s">
        <v>506</v>
      </c>
    </row>
    <row r="61" spans="1:17" ht="56.4" customHeight="1" thickTop="1" thickBot="1" x14ac:dyDescent="0.35">
      <c r="A61" s="549" t="s">
        <v>19</v>
      </c>
      <c r="B61" s="552" t="s">
        <v>10</v>
      </c>
      <c r="C61" s="552" t="s">
        <v>287</v>
      </c>
      <c r="D61" s="124" t="s">
        <v>740</v>
      </c>
      <c r="E61" s="124" t="s">
        <v>737</v>
      </c>
      <c r="F61" s="550">
        <v>43647</v>
      </c>
      <c r="G61" s="550">
        <v>44012</v>
      </c>
      <c r="H61" s="124" t="s">
        <v>37</v>
      </c>
      <c r="I61" s="126" t="s">
        <v>11</v>
      </c>
      <c r="J61" s="127">
        <v>40000</v>
      </c>
      <c r="K61" s="582">
        <v>40000</v>
      </c>
      <c r="L61" s="581">
        <f t="shared" si="0"/>
        <v>0</v>
      </c>
      <c r="M61" s="656" t="s">
        <v>993</v>
      </c>
      <c r="N61" s="657"/>
      <c r="O61" s="657"/>
      <c r="P61" s="657"/>
      <c r="Q61" s="658"/>
    </row>
    <row r="62" spans="1:17" ht="40.950000000000003" customHeight="1" thickTop="1" thickBot="1" x14ac:dyDescent="0.35">
      <c r="A62" s="549" t="s">
        <v>19</v>
      </c>
      <c r="B62" s="552" t="s">
        <v>10</v>
      </c>
      <c r="C62" s="552" t="s">
        <v>287</v>
      </c>
      <c r="D62" s="124" t="s">
        <v>739</v>
      </c>
      <c r="E62" s="131" t="s">
        <v>738</v>
      </c>
      <c r="F62" s="550">
        <v>43647</v>
      </c>
      <c r="G62" s="550">
        <v>44012</v>
      </c>
      <c r="H62" s="124" t="s">
        <v>38</v>
      </c>
      <c r="I62" s="126" t="s">
        <v>11</v>
      </c>
      <c r="J62" s="127">
        <v>50000</v>
      </c>
      <c r="K62" s="582">
        <v>50000</v>
      </c>
      <c r="L62" s="581">
        <f t="shared" si="0"/>
        <v>0</v>
      </c>
      <c r="M62" s="656" t="s">
        <v>993</v>
      </c>
      <c r="N62" s="657"/>
      <c r="O62" s="657"/>
      <c r="P62" s="657"/>
      <c r="Q62" s="658"/>
    </row>
    <row r="63" spans="1:17" ht="42.6" thickTop="1" thickBot="1" x14ac:dyDescent="0.35">
      <c r="A63" s="549" t="s">
        <v>19</v>
      </c>
      <c r="B63" s="552" t="s">
        <v>10</v>
      </c>
      <c r="C63" s="552" t="s">
        <v>21</v>
      </c>
      <c r="D63" s="124" t="s">
        <v>935</v>
      </c>
      <c r="E63" s="124" t="s">
        <v>936</v>
      </c>
      <c r="F63" s="550">
        <v>43647</v>
      </c>
      <c r="G63" s="550">
        <v>44012</v>
      </c>
      <c r="H63" s="124" t="s">
        <v>37</v>
      </c>
      <c r="I63" s="126" t="s">
        <v>11</v>
      </c>
      <c r="J63" s="127">
        <v>2000000</v>
      </c>
      <c r="K63" s="582">
        <v>0</v>
      </c>
      <c r="L63" s="581">
        <f t="shared" si="0"/>
        <v>2000000</v>
      </c>
      <c r="M63" s="124" t="s">
        <v>268</v>
      </c>
      <c r="N63" s="124" t="s">
        <v>496</v>
      </c>
      <c r="O63" s="124" t="s">
        <v>501</v>
      </c>
      <c r="P63" s="124" t="s">
        <v>937</v>
      </c>
      <c r="Q63" s="124" t="s">
        <v>992</v>
      </c>
    </row>
    <row r="64" spans="1:17" ht="42.6" customHeight="1" thickTop="1" thickBot="1" x14ac:dyDescent="0.35">
      <c r="A64" s="549">
        <v>29</v>
      </c>
      <c r="B64" s="552" t="s">
        <v>10</v>
      </c>
      <c r="C64" s="552" t="s">
        <v>21</v>
      </c>
      <c r="D64" s="124" t="s">
        <v>743</v>
      </c>
      <c r="E64" s="124" t="s">
        <v>744</v>
      </c>
      <c r="F64" s="550">
        <v>43647</v>
      </c>
      <c r="G64" s="550">
        <v>44012</v>
      </c>
      <c r="H64" s="124" t="s">
        <v>37</v>
      </c>
      <c r="I64" s="126" t="s">
        <v>11</v>
      </c>
      <c r="J64" s="127">
        <v>2300000</v>
      </c>
      <c r="K64" s="582">
        <v>2300000</v>
      </c>
      <c r="L64" s="581">
        <f t="shared" si="0"/>
        <v>0</v>
      </c>
      <c r="M64" s="656" t="s">
        <v>993</v>
      </c>
      <c r="N64" s="657"/>
      <c r="O64" s="657"/>
      <c r="P64" s="657"/>
      <c r="Q64" s="658"/>
    </row>
    <row r="65" spans="1:17" ht="54" thickTop="1" thickBot="1" x14ac:dyDescent="0.35">
      <c r="A65" s="549">
        <v>4</v>
      </c>
      <c r="B65" s="552" t="s">
        <v>10</v>
      </c>
      <c r="C65" s="552" t="s">
        <v>21</v>
      </c>
      <c r="D65" s="124" t="s">
        <v>745</v>
      </c>
      <c r="E65" s="131" t="s">
        <v>746</v>
      </c>
      <c r="F65" s="550">
        <v>43647</v>
      </c>
      <c r="G65" s="550">
        <v>44012</v>
      </c>
      <c r="H65" s="124" t="s">
        <v>37</v>
      </c>
      <c r="I65" s="126" t="s">
        <v>11</v>
      </c>
      <c r="J65" s="127">
        <v>350000</v>
      </c>
      <c r="K65" s="582">
        <v>0</v>
      </c>
      <c r="L65" s="581">
        <f t="shared" si="0"/>
        <v>350000</v>
      </c>
      <c r="M65" s="124" t="s">
        <v>268</v>
      </c>
      <c r="N65" s="124" t="s">
        <v>496</v>
      </c>
      <c r="O65" s="124" t="s">
        <v>501</v>
      </c>
      <c r="P65" s="131" t="s">
        <v>747</v>
      </c>
      <c r="Q65" s="124" t="s">
        <v>1001</v>
      </c>
    </row>
    <row r="66" spans="1:17" ht="84" thickTop="1" thickBot="1" x14ac:dyDescent="0.35">
      <c r="A66" s="549">
        <v>29</v>
      </c>
      <c r="B66" s="552" t="s">
        <v>10</v>
      </c>
      <c r="C66" s="552" t="s">
        <v>21</v>
      </c>
      <c r="D66" s="124" t="s">
        <v>748</v>
      </c>
      <c r="E66" s="124" t="s">
        <v>749</v>
      </c>
      <c r="F66" s="550">
        <v>43647</v>
      </c>
      <c r="G66" s="550">
        <v>44012</v>
      </c>
      <c r="H66" s="124" t="s">
        <v>37</v>
      </c>
      <c r="I66" s="126" t="s">
        <v>11</v>
      </c>
      <c r="J66" s="127">
        <v>650000</v>
      </c>
      <c r="K66" s="582">
        <v>0</v>
      </c>
      <c r="L66" s="581">
        <f t="shared" si="0"/>
        <v>650000</v>
      </c>
      <c r="M66" s="124" t="s">
        <v>268</v>
      </c>
      <c r="N66" s="124" t="s">
        <v>496</v>
      </c>
      <c r="O66" s="124" t="s">
        <v>501</v>
      </c>
      <c r="P66" s="124" t="s">
        <v>750</v>
      </c>
      <c r="Q66" s="124" t="s">
        <v>1001</v>
      </c>
    </row>
    <row r="67" spans="1:17" ht="42.6" customHeight="1" thickTop="1" thickBot="1" x14ac:dyDescent="0.35">
      <c r="A67" s="549" t="s">
        <v>19</v>
      </c>
      <c r="B67" s="552" t="s">
        <v>10</v>
      </c>
      <c r="C67" s="552" t="s">
        <v>21</v>
      </c>
      <c r="D67" s="124" t="s">
        <v>751</v>
      </c>
      <c r="E67" s="124" t="s">
        <v>759</v>
      </c>
      <c r="F67" s="550">
        <v>43647</v>
      </c>
      <c r="G67" s="550">
        <v>44012</v>
      </c>
      <c r="H67" s="124" t="s">
        <v>37</v>
      </c>
      <c r="I67" s="126" t="s">
        <v>11</v>
      </c>
      <c r="J67" s="127">
        <v>1200000</v>
      </c>
      <c r="K67" s="582">
        <v>1200000</v>
      </c>
      <c r="L67" s="581">
        <f t="shared" si="0"/>
        <v>0</v>
      </c>
      <c r="M67" s="640" t="s">
        <v>981</v>
      </c>
      <c r="N67" s="641"/>
      <c r="O67" s="641"/>
      <c r="P67" s="641"/>
      <c r="Q67" s="642"/>
    </row>
    <row r="68" spans="1:17" ht="42.6" thickTop="1" thickBot="1" x14ac:dyDescent="0.35">
      <c r="A68" s="549" t="s">
        <v>19</v>
      </c>
      <c r="B68" s="552" t="s">
        <v>10</v>
      </c>
      <c r="C68" s="552" t="s">
        <v>21</v>
      </c>
      <c r="D68" s="124" t="s">
        <v>752</v>
      </c>
      <c r="E68" s="124" t="s">
        <v>758</v>
      </c>
      <c r="F68" s="550">
        <v>43647</v>
      </c>
      <c r="G68" s="550">
        <v>44012</v>
      </c>
      <c r="H68" s="124" t="s">
        <v>37</v>
      </c>
      <c r="I68" s="126" t="s">
        <v>11</v>
      </c>
      <c r="J68" s="127">
        <v>500000</v>
      </c>
      <c r="K68" s="582">
        <v>224000</v>
      </c>
      <c r="L68" s="581">
        <f t="shared" si="0"/>
        <v>276000</v>
      </c>
      <c r="M68" s="124" t="s">
        <v>268</v>
      </c>
      <c r="N68" s="124" t="s">
        <v>496</v>
      </c>
      <c r="O68" s="124" t="s">
        <v>501</v>
      </c>
      <c r="P68" s="124" t="s">
        <v>753</v>
      </c>
      <c r="Q68" s="124" t="s">
        <v>506</v>
      </c>
    </row>
    <row r="69" spans="1:17" ht="42.6" thickTop="1" thickBot="1" x14ac:dyDescent="0.35">
      <c r="A69" s="549" t="s">
        <v>19</v>
      </c>
      <c r="B69" s="552" t="s">
        <v>10</v>
      </c>
      <c r="C69" s="552" t="s">
        <v>21</v>
      </c>
      <c r="D69" s="124" t="s">
        <v>755</v>
      </c>
      <c r="E69" s="124" t="s">
        <v>757</v>
      </c>
      <c r="F69" s="550">
        <v>43647</v>
      </c>
      <c r="G69" s="550">
        <v>44012</v>
      </c>
      <c r="H69" s="124" t="s">
        <v>37</v>
      </c>
      <c r="I69" s="126" t="s">
        <v>11</v>
      </c>
      <c r="J69" s="127">
        <v>300000</v>
      </c>
      <c r="K69" s="582">
        <v>165613</v>
      </c>
      <c r="L69" s="581">
        <f t="shared" si="0"/>
        <v>134387</v>
      </c>
      <c r="M69" s="124" t="s">
        <v>268</v>
      </c>
      <c r="N69" s="124" t="s">
        <v>496</v>
      </c>
      <c r="O69" s="124" t="s">
        <v>501</v>
      </c>
      <c r="P69" s="124" t="s">
        <v>754</v>
      </c>
      <c r="Q69" s="124" t="s">
        <v>506</v>
      </c>
    </row>
    <row r="70" spans="1:17" ht="42.6" thickTop="1" thickBot="1" x14ac:dyDescent="0.35">
      <c r="A70" s="549" t="s">
        <v>19</v>
      </c>
      <c r="B70" s="552" t="s">
        <v>10</v>
      </c>
      <c r="C70" s="552" t="s">
        <v>21</v>
      </c>
      <c r="D70" s="124" t="s">
        <v>762</v>
      </c>
      <c r="E70" s="124" t="s">
        <v>761</v>
      </c>
      <c r="F70" s="550">
        <v>43647</v>
      </c>
      <c r="G70" s="550">
        <v>44012</v>
      </c>
      <c r="H70" s="124" t="s">
        <v>37</v>
      </c>
      <c r="I70" s="126" t="s">
        <v>11</v>
      </c>
      <c r="J70" s="127">
        <v>50000</v>
      </c>
      <c r="K70" s="582">
        <v>0</v>
      </c>
      <c r="L70" s="581">
        <f t="shared" si="0"/>
        <v>50000</v>
      </c>
      <c r="M70" s="124" t="s">
        <v>268</v>
      </c>
      <c r="N70" s="124" t="s">
        <v>496</v>
      </c>
      <c r="O70" s="124" t="s">
        <v>501</v>
      </c>
      <c r="P70" s="124" t="s">
        <v>756</v>
      </c>
      <c r="Q70" s="124" t="s">
        <v>506</v>
      </c>
    </row>
    <row r="71" spans="1:17" ht="42.6" customHeight="1" thickTop="1" thickBot="1" x14ac:dyDescent="0.35">
      <c r="A71" s="549">
        <v>29</v>
      </c>
      <c r="B71" s="552" t="s">
        <v>10</v>
      </c>
      <c r="C71" s="552" t="s">
        <v>21</v>
      </c>
      <c r="D71" s="124" t="s">
        <v>763</v>
      </c>
      <c r="E71" s="124" t="s">
        <v>764</v>
      </c>
      <c r="F71" s="550">
        <v>43647</v>
      </c>
      <c r="G71" s="550">
        <v>44012</v>
      </c>
      <c r="H71" s="124" t="s">
        <v>37</v>
      </c>
      <c r="I71" s="126" t="s">
        <v>11</v>
      </c>
      <c r="J71" s="127">
        <v>750000</v>
      </c>
      <c r="K71" s="582">
        <v>750000</v>
      </c>
      <c r="L71" s="581">
        <f t="shared" si="0"/>
        <v>0</v>
      </c>
      <c r="M71" s="656" t="s">
        <v>993</v>
      </c>
      <c r="N71" s="657"/>
      <c r="O71" s="657"/>
      <c r="P71" s="657"/>
      <c r="Q71" s="658"/>
    </row>
    <row r="72" spans="1:17" ht="42.6" customHeight="1" thickTop="1" thickBot="1" x14ac:dyDescent="0.35">
      <c r="A72" s="549">
        <v>29</v>
      </c>
      <c r="B72" s="552" t="s">
        <v>10</v>
      </c>
      <c r="C72" s="124" t="s">
        <v>21</v>
      </c>
      <c r="D72" s="124" t="s">
        <v>765</v>
      </c>
      <c r="E72" s="124" t="s">
        <v>766</v>
      </c>
      <c r="F72" s="550">
        <v>43647</v>
      </c>
      <c r="G72" s="550">
        <v>44012</v>
      </c>
      <c r="H72" s="124" t="s">
        <v>37</v>
      </c>
      <c r="I72" s="126" t="s">
        <v>11</v>
      </c>
      <c r="J72" s="128">
        <v>600000</v>
      </c>
      <c r="K72" s="581">
        <v>600000</v>
      </c>
      <c r="L72" s="581">
        <f t="shared" ref="L72:L81" si="2">J72-K72</f>
        <v>0</v>
      </c>
      <c r="M72" s="656" t="s">
        <v>993</v>
      </c>
      <c r="N72" s="657"/>
      <c r="O72" s="657"/>
      <c r="P72" s="657"/>
      <c r="Q72" s="658"/>
    </row>
    <row r="73" spans="1:17" ht="84" thickTop="1" thickBot="1" x14ac:dyDescent="0.35">
      <c r="A73" s="551">
        <v>29</v>
      </c>
      <c r="B73" s="552" t="s">
        <v>10</v>
      </c>
      <c r="C73" s="124" t="s">
        <v>21</v>
      </c>
      <c r="D73" s="124" t="s">
        <v>767</v>
      </c>
      <c r="E73" s="124" t="s">
        <v>768</v>
      </c>
      <c r="F73" s="550">
        <v>43647</v>
      </c>
      <c r="G73" s="550">
        <v>44012</v>
      </c>
      <c r="H73" s="124" t="s">
        <v>37</v>
      </c>
      <c r="I73" s="126" t="s">
        <v>11</v>
      </c>
      <c r="J73" s="128">
        <v>300000</v>
      </c>
      <c r="K73" s="581">
        <v>100000</v>
      </c>
      <c r="L73" s="581">
        <f t="shared" si="2"/>
        <v>200000</v>
      </c>
      <c r="M73" s="124" t="s">
        <v>43</v>
      </c>
      <c r="N73" s="124" t="s">
        <v>496</v>
      </c>
      <c r="O73" s="124" t="s">
        <v>504</v>
      </c>
      <c r="P73" s="124" t="s">
        <v>769</v>
      </c>
      <c r="Q73" s="124" t="s">
        <v>497</v>
      </c>
    </row>
    <row r="74" spans="1:17" ht="56.4" thickTop="1" thickBot="1" x14ac:dyDescent="0.35">
      <c r="A74" s="551">
        <v>29</v>
      </c>
      <c r="B74" s="552" t="s">
        <v>10</v>
      </c>
      <c r="C74" s="124" t="s">
        <v>21</v>
      </c>
      <c r="D74" s="124" t="s">
        <v>770</v>
      </c>
      <c r="E74" s="124" t="s">
        <v>771</v>
      </c>
      <c r="F74" s="550">
        <v>43647</v>
      </c>
      <c r="G74" s="550">
        <v>44012</v>
      </c>
      <c r="H74" s="124" t="s">
        <v>37</v>
      </c>
      <c r="I74" s="126" t="s">
        <v>11</v>
      </c>
      <c r="J74" s="128">
        <v>2800000</v>
      </c>
      <c r="K74" s="581">
        <v>0</v>
      </c>
      <c r="L74" s="581">
        <f t="shared" si="2"/>
        <v>2800000</v>
      </c>
      <c r="M74" s="124" t="s">
        <v>43</v>
      </c>
      <c r="N74" s="124" t="s">
        <v>496</v>
      </c>
      <c r="O74" s="124" t="s">
        <v>1002</v>
      </c>
      <c r="P74" s="124" t="s">
        <v>772</v>
      </c>
      <c r="Q74" s="124" t="s">
        <v>992</v>
      </c>
    </row>
    <row r="75" spans="1:17" ht="56.4" thickTop="1" thickBot="1" x14ac:dyDescent="0.35">
      <c r="A75" s="551">
        <v>30</v>
      </c>
      <c r="B75" s="552" t="s">
        <v>10</v>
      </c>
      <c r="C75" s="124" t="s">
        <v>21</v>
      </c>
      <c r="D75" s="124" t="s">
        <v>975</v>
      </c>
      <c r="E75" s="124" t="s">
        <v>976</v>
      </c>
      <c r="F75" s="550">
        <v>43891</v>
      </c>
      <c r="G75" s="550">
        <v>44012</v>
      </c>
      <c r="H75" s="124" t="s">
        <v>37</v>
      </c>
      <c r="I75" s="126" t="s">
        <v>11</v>
      </c>
      <c r="J75" s="128">
        <v>1400000</v>
      </c>
      <c r="K75" s="581">
        <v>0</v>
      </c>
      <c r="L75" s="581">
        <f t="shared" ref="L75" si="3">J75-K75</f>
        <v>1400000</v>
      </c>
      <c r="M75" s="124" t="s">
        <v>1002</v>
      </c>
      <c r="N75" s="129" t="s">
        <v>997</v>
      </c>
      <c r="O75" s="124" t="s">
        <v>772</v>
      </c>
      <c r="P75" s="124" t="s">
        <v>12</v>
      </c>
      <c r="Q75" s="124" t="s">
        <v>992</v>
      </c>
    </row>
    <row r="76" spans="1:17" ht="56.4" thickTop="1" thickBot="1" x14ac:dyDescent="0.35">
      <c r="A76" s="551" t="s">
        <v>779</v>
      </c>
      <c r="B76" s="552" t="s">
        <v>10</v>
      </c>
      <c r="C76" s="124" t="s">
        <v>13</v>
      </c>
      <c r="D76" s="124" t="s">
        <v>883</v>
      </c>
      <c r="E76" s="131" t="s">
        <v>874</v>
      </c>
      <c r="F76" s="550">
        <v>43647</v>
      </c>
      <c r="G76" s="550">
        <v>44012</v>
      </c>
      <c r="H76" s="124" t="s">
        <v>37</v>
      </c>
      <c r="I76" s="126" t="s">
        <v>289</v>
      </c>
      <c r="J76" s="132">
        <v>8233189.0599999996</v>
      </c>
      <c r="K76" s="583">
        <v>500000</v>
      </c>
      <c r="L76" s="581">
        <f>J76+K76</f>
        <v>8733189.0599999987</v>
      </c>
      <c r="M76" s="129" t="s">
        <v>1010</v>
      </c>
      <c r="N76" s="129" t="s">
        <v>1006</v>
      </c>
      <c r="O76" s="129" t="s">
        <v>1004</v>
      </c>
      <c r="P76" s="129" t="s">
        <v>1003</v>
      </c>
      <c r="Q76" s="124" t="s">
        <v>1008</v>
      </c>
    </row>
    <row r="77" spans="1:17" ht="56.4" thickTop="1" thickBot="1" x14ac:dyDescent="0.35">
      <c r="A77" s="551">
        <v>12</v>
      </c>
      <c r="B77" s="552" t="s">
        <v>10</v>
      </c>
      <c r="C77" s="124" t="s">
        <v>13</v>
      </c>
      <c r="D77" s="124" t="s">
        <v>884</v>
      </c>
      <c r="E77" s="131" t="s">
        <v>1021</v>
      </c>
      <c r="F77" s="550">
        <v>43647</v>
      </c>
      <c r="G77" s="550">
        <v>44012</v>
      </c>
      <c r="H77" s="124" t="s">
        <v>37</v>
      </c>
      <c r="I77" s="126" t="s">
        <v>23</v>
      </c>
      <c r="J77" s="128">
        <v>10000000</v>
      </c>
      <c r="K77" s="581">
        <v>0</v>
      </c>
      <c r="L77" s="581">
        <f t="shared" si="2"/>
        <v>10000000</v>
      </c>
      <c r="M77" s="129" t="s">
        <v>1005</v>
      </c>
      <c r="N77" s="129" t="s">
        <v>1006</v>
      </c>
      <c r="O77" s="129" t="s">
        <v>1009</v>
      </c>
      <c r="P77" s="129" t="s">
        <v>1011</v>
      </c>
      <c r="Q77" s="124" t="s">
        <v>1007</v>
      </c>
    </row>
    <row r="78" spans="1:17" ht="67.2" thickTop="1" thickBot="1" x14ac:dyDescent="0.35">
      <c r="A78" s="549" t="s">
        <v>774</v>
      </c>
      <c r="B78" s="552" t="s">
        <v>10</v>
      </c>
      <c r="C78" s="124" t="s">
        <v>13</v>
      </c>
      <c r="D78" s="124" t="s">
        <v>1017</v>
      </c>
      <c r="E78" s="131" t="s">
        <v>1020</v>
      </c>
      <c r="F78" s="550">
        <v>43647</v>
      </c>
      <c r="G78" s="550">
        <v>44012</v>
      </c>
      <c r="H78" s="124" t="s">
        <v>37</v>
      </c>
      <c r="I78" s="126" t="s">
        <v>11</v>
      </c>
      <c r="J78" s="128">
        <v>10000000</v>
      </c>
      <c r="K78" s="581">
        <v>491002.3</v>
      </c>
      <c r="L78" s="581">
        <f t="shared" si="2"/>
        <v>9508997.6999999993</v>
      </c>
      <c r="M78" s="129" t="s">
        <v>1005</v>
      </c>
      <c r="N78" s="129" t="s">
        <v>1006</v>
      </c>
      <c r="O78" s="129" t="s">
        <v>1009</v>
      </c>
      <c r="P78" s="129" t="s">
        <v>1012</v>
      </c>
      <c r="Q78" s="124" t="s">
        <v>1007</v>
      </c>
    </row>
    <row r="79" spans="1:17" ht="56.4" thickTop="1" thickBot="1" x14ac:dyDescent="0.35">
      <c r="A79" s="551">
        <v>26</v>
      </c>
      <c r="B79" s="131" t="s">
        <v>10</v>
      </c>
      <c r="C79" s="124" t="s">
        <v>872</v>
      </c>
      <c r="D79" s="124" t="s">
        <v>773</v>
      </c>
      <c r="E79" s="131" t="s">
        <v>875</v>
      </c>
      <c r="F79" s="550">
        <v>43647</v>
      </c>
      <c r="G79" s="550">
        <v>44012</v>
      </c>
      <c r="H79" s="124" t="s">
        <v>37</v>
      </c>
      <c r="I79" s="126" t="s">
        <v>289</v>
      </c>
      <c r="J79" s="128">
        <v>9861763.7899999991</v>
      </c>
      <c r="K79" s="581">
        <v>66551.070000000007</v>
      </c>
      <c r="L79" s="581">
        <f>J79+K79</f>
        <v>9928314.8599999994</v>
      </c>
      <c r="M79" s="129" t="s">
        <v>1005</v>
      </c>
      <c r="N79" s="129" t="s">
        <v>1006</v>
      </c>
      <c r="O79" s="129" t="s">
        <v>1009</v>
      </c>
      <c r="P79" s="129" t="s">
        <v>1013</v>
      </c>
      <c r="Q79" s="124" t="s">
        <v>1007</v>
      </c>
    </row>
    <row r="80" spans="1:17" ht="56.4" thickTop="1" thickBot="1" x14ac:dyDescent="0.35">
      <c r="A80" s="549">
        <v>4</v>
      </c>
      <c r="B80" s="552" t="s">
        <v>10</v>
      </c>
      <c r="C80" s="552" t="s">
        <v>873</v>
      </c>
      <c r="D80" s="124" t="s">
        <v>711</v>
      </c>
      <c r="E80" s="131" t="s">
        <v>1015</v>
      </c>
      <c r="F80" s="550">
        <v>43647</v>
      </c>
      <c r="G80" s="550">
        <v>44012</v>
      </c>
      <c r="H80" s="124" t="s">
        <v>37</v>
      </c>
      <c r="I80" s="126" t="s">
        <v>289</v>
      </c>
      <c r="J80" s="127">
        <v>8000000</v>
      </c>
      <c r="K80" s="582">
        <v>2000000</v>
      </c>
      <c r="L80" s="581">
        <f t="shared" si="2"/>
        <v>6000000</v>
      </c>
      <c r="M80" s="129" t="s">
        <v>1005</v>
      </c>
      <c r="N80" s="129" t="s">
        <v>1006</v>
      </c>
      <c r="O80" s="129" t="s">
        <v>1009</v>
      </c>
      <c r="P80" s="129" t="s">
        <v>1014</v>
      </c>
      <c r="Q80" s="124" t="s">
        <v>1007</v>
      </c>
    </row>
    <row r="81" spans="1:17" ht="54" thickTop="1" thickBot="1" x14ac:dyDescent="0.35">
      <c r="A81" s="551">
        <v>10</v>
      </c>
      <c r="B81" s="552" t="s">
        <v>10</v>
      </c>
      <c r="C81" s="124" t="s">
        <v>18</v>
      </c>
      <c r="D81" s="124" t="s">
        <v>947</v>
      </c>
      <c r="E81" s="131" t="s">
        <v>715</v>
      </c>
      <c r="F81" s="550">
        <v>43647</v>
      </c>
      <c r="G81" s="550">
        <v>44012</v>
      </c>
      <c r="H81" s="124" t="s">
        <v>37</v>
      </c>
      <c r="I81" s="126" t="s">
        <v>289</v>
      </c>
      <c r="J81" s="128">
        <v>1000000</v>
      </c>
      <c r="K81" s="581">
        <v>700000</v>
      </c>
      <c r="L81" s="581">
        <f t="shared" si="2"/>
        <v>300000</v>
      </c>
      <c r="M81" s="124" t="s">
        <v>43</v>
      </c>
      <c r="N81" s="124" t="s">
        <v>502</v>
      </c>
      <c r="O81" s="124" t="s">
        <v>694</v>
      </c>
      <c r="P81" s="124" t="s">
        <v>1000</v>
      </c>
      <c r="Q81" s="124" t="s">
        <v>999</v>
      </c>
    </row>
    <row r="82" spans="1:17" ht="67.2" thickTop="1" thickBot="1" x14ac:dyDescent="0.35">
      <c r="A82" s="549">
        <v>1</v>
      </c>
      <c r="B82" s="552" t="s">
        <v>10</v>
      </c>
      <c r="C82" s="552" t="s">
        <v>873</v>
      </c>
      <c r="D82" s="124" t="s">
        <v>1018</v>
      </c>
      <c r="E82" s="131" t="s">
        <v>1019</v>
      </c>
      <c r="F82" s="550">
        <v>43647</v>
      </c>
      <c r="G82" s="550">
        <v>44012</v>
      </c>
      <c r="H82" s="124" t="s">
        <v>37</v>
      </c>
      <c r="I82" s="126" t="s">
        <v>289</v>
      </c>
      <c r="J82" s="127">
        <v>7000000</v>
      </c>
      <c r="K82" s="582">
        <v>3257098.38</v>
      </c>
      <c r="L82" s="581">
        <f>J82+K82</f>
        <v>10257098.379999999</v>
      </c>
      <c r="M82" s="124" t="s">
        <v>713</v>
      </c>
      <c r="N82" s="124" t="s">
        <v>712</v>
      </c>
      <c r="O82" s="124" t="s">
        <v>503</v>
      </c>
      <c r="P82" s="124" t="s">
        <v>1016</v>
      </c>
      <c r="Q82" s="124" t="s">
        <v>992</v>
      </c>
    </row>
    <row r="83" spans="1:17" ht="14.4" thickTop="1" x14ac:dyDescent="0.3"/>
    <row r="86" spans="1:17" hidden="1" x14ac:dyDescent="0.3"/>
    <row r="87" spans="1:17" hidden="1" x14ac:dyDescent="0.3"/>
    <row r="88" spans="1:17" hidden="1" x14ac:dyDescent="0.3"/>
    <row r="89" spans="1:17" hidden="1" x14ac:dyDescent="0.3"/>
    <row r="90" spans="1:17" hidden="1" x14ac:dyDescent="0.3"/>
    <row r="91" spans="1:17" hidden="1" x14ac:dyDescent="0.3"/>
    <row r="92" spans="1:17" hidden="1" x14ac:dyDescent="0.3"/>
    <row r="93" spans="1:17" hidden="1" x14ac:dyDescent="0.3"/>
    <row r="94" spans="1:17" hidden="1" x14ac:dyDescent="0.3"/>
    <row r="95" spans="1:17" hidden="1" x14ac:dyDescent="0.3"/>
    <row r="96" spans="1:17" hidden="1" x14ac:dyDescent="0.3"/>
    <row r="97" hidden="1" x14ac:dyDescent="0.3"/>
    <row r="98" hidden="1" x14ac:dyDescent="0.3"/>
    <row r="99" hidden="1" x14ac:dyDescent="0.3"/>
    <row r="100" hidden="1" x14ac:dyDescent="0.3"/>
    <row r="101" hidden="1" x14ac:dyDescent="0.3"/>
    <row r="102" hidden="1" x14ac:dyDescent="0.3"/>
    <row r="103" hidden="1" x14ac:dyDescent="0.3"/>
    <row r="104" hidden="1" x14ac:dyDescent="0.3"/>
    <row r="105" hidden="1" x14ac:dyDescent="0.3"/>
    <row r="106" hidden="1" x14ac:dyDescent="0.3"/>
    <row r="107" hidden="1" x14ac:dyDescent="0.3"/>
    <row r="108" hidden="1" x14ac:dyDescent="0.3"/>
    <row r="109" hidden="1" x14ac:dyDescent="0.3"/>
    <row r="110" hidden="1" x14ac:dyDescent="0.3"/>
    <row r="111" hidden="1" x14ac:dyDescent="0.3"/>
    <row r="112" hidden="1" x14ac:dyDescent="0.3"/>
    <row r="113" hidden="1" x14ac:dyDescent="0.3"/>
    <row r="114" hidden="1" x14ac:dyDescent="0.3"/>
    <row r="115" hidden="1" x14ac:dyDescent="0.3"/>
    <row r="116" hidden="1" x14ac:dyDescent="0.3"/>
    <row r="117" hidden="1" x14ac:dyDescent="0.3"/>
    <row r="118" hidden="1" x14ac:dyDescent="0.3"/>
    <row r="119" hidden="1" x14ac:dyDescent="0.3"/>
    <row r="120" hidden="1" x14ac:dyDescent="0.3"/>
    <row r="121" hidden="1" x14ac:dyDescent="0.3"/>
    <row r="122" hidden="1" x14ac:dyDescent="0.3"/>
    <row r="123" hidden="1" x14ac:dyDescent="0.3"/>
    <row r="124" hidden="1" x14ac:dyDescent="0.3"/>
  </sheetData>
  <mergeCells count="25">
    <mergeCell ref="M62:Q62"/>
    <mergeCell ref="M64:Q64"/>
    <mergeCell ref="M67:Q67"/>
    <mergeCell ref="M71:Q71"/>
    <mergeCell ref="M72:Q72"/>
    <mergeCell ref="M32:Q32"/>
    <mergeCell ref="M35:Q35"/>
    <mergeCell ref="M56:Q56"/>
    <mergeCell ref="M57:Q57"/>
    <mergeCell ref="M61:Q61"/>
    <mergeCell ref="A1:Q2"/>
    <mergeCell ref="M10:Q10"/>
    <mergeCell ref="M16:Q16"/>
    <mergeCell ref="M17:Q17"/>
    <mergeCell ref="M22:Q22"/>
    <mergeCell ref="M18:Q18"/>
    <mergeCell ref="M19:Q19"/>
    <mergeCell ref="M20:Q20"/>
    <mergeCell ref="M28:Q28"/>
    <mergeCell ref="M31:Q31"/>
    <mergeCell ref="M23:Q23"/>
    <mergeCell ref="M24:Q24"/>
    <mergeCell ref="M25:Q25"/>
    <mergeCell ref="M26:Q26"/>
    <mergeCell ref="M27:Q27"/>
  </mergeCells>
  <phoneticPr fontId="58" type="noConversion"/>
  <pageMargins left="0.70866141732283472" right="0.70866141732283472" top="0.74803149606299213" bottom="0.74803149606299213" header="0.31496062992125984" footer="0.31496062992125984"/>
  <pageSetup paperSize="9" scale="51" fitToHeight="0" orientation="landscape" r:id="rId1"/>
  <headerFooter>
    <oddFooter>&amp;L2018/19 SDBIP&amp;CBASIC SERVICE DELIVERY PROJECTS &amp;RPage &amp;P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Q11"/>
  <sheetViews>
    <sheetView view="pageBreakPreview" zoomScale="82" zoomScaleNormal="100" zoomScaleSheetLayoutView="82" workbookViewId="0">
      <selection sqref="A1:XFD1048576"/>
    </sheetView>
  </sheetViews>
  <sheetFormatPr defaultColWidth="8.88671875" defaultRowHeight="10.199999999999999" x14ac:dyDescent="0.3"/>
  <cols>
    <col min="1" max="1" width="5.5546875" style="519" customWidth="1"/>
    <col min="2" max="2" width="13.33203125" style="519" customWidth="1"/>
    <col min="3" max="3" width="14" style="519" customWidth="1"/>
    <col min="4" max="4" width="14.5546875" style="519" customWidth="1"/>
    <col min="5" max="5" width="13.6640625" style="519" customWidth="1"/>
    <col min="6" max="6" width="11.6640625" style="519" customWidth="1"/>
    <col min="7" max="7" width="13.33203125" style="519" customWidth="1"/>
    <col min="8" max="12" width="8.88671875" style="519"/>
    <col min="13" max="13" width="15.109375" style="519" customWidth="1"/>
    <col min="14" max="14" width="24.33203125" style="519" customWidth="1"/>
    <col min="15" max="15" width="13.33203125" style="519" customWidth="1"/>
    <col min="16" max="16" width="18.6640625" style="519" customWidth="1"/>
    <col min="17" max="17" width="15.88671875" style="519" customWidth="1"/>
    <col min="18" max="16384" width="8.88671875" style="519"/>
  </cols>
  <sheetData>
    <row r="1" spans="1:17" ht="10.8" thickTop="1" x14ac:dyDescent="0.3">
      <c r="A1" s="659" t="s">
        <v>610</v>
      </c>
      <c r="B1" s="660"/>
      <c r="C1" s="660"/>
      <c r="D1" s="660"/>
      <c r="E1" s="660"/>
      <c r="F1" s="660"/>
      <c r="G1" s="660"/>
      <c r="H1" s="660"/>
      <c r="I1" s="660"/>
      <c r="J1" s="660"/>
      <c r="K1" s="661"/>
      <c r="L1" s="661"/>
      <c r="M1" s="660"/>
      <c r="N1" s="660"/>
      <c r="O1" s="660"/>
      <c r="P1" s="660"/>
      <c r="Q1" s="662"/>
    </row>
    <row r="2" spans="1:17" ht="10.8" thickBot="1" x14ac:dyDescent="0.35">
      <c r="A2" s="663"/>
      <c r="B2" s="664"/>
      <c r="C2" s="664"/>
      <c r="D2" s="664"/>
      <c r="E2" s="664"/>
      <c r="F2" s="664"/>
      <c r="G2" s="664"/>
      <c r="H2" s="664"/>
      <c r="I2" s="664"/>
      <c r="J2" s="664"/>
      <c r="K2" s="664"/>
      <c r="L2" s="664"/>
      <c r="M2" s="664"/>
      <c r="N2" s="664"/>
      <c r="O2" s="664"/>
      <c r="P2" s="664"/>
      <c r="Q2" s="665"/>
    </row>
    <row r="3" spans="1:17" ht="11.4" thickTop="1" thickBot="1" x14ac:dyDescent="0.35">
      <c r="A3" s="520"/>
      <c r="B3" s="520"/>
      <c r="C3" s="520" t="s">
        <v>52</v>
      </c>
      <c r="D3" s="520"/>
      <c r="E3" s="520"/>
      <c r="F3" s="520"/>
      <c r="G3" s="520"/>
      <c r="H3" s="520"/>
      <c r="I3" s="520"/>
      <c r="J3" s="520"/>
      <c r="K3" s="520"/>
      <c r="L3" s="520"/>
      <c r="M3" s="520"/>
      <c r="N3" s="520"/>
      <c r="O3" s="520"/>
      <c r="P3" s="520"/>
      <c r="Q3" s="521"/>
    </row>
    <row r="4" spans="1:17" ht="21.6" thickTop="1" thickBot="1" x14ac:dyDescent="0.35">
      <c r="A4" s="522" t="s">
        <v>1</v>
      </c>
      <c r="B4" s="491" t="s">
        <v>2</v>
      </c>
      <c r="C4" s="491" t="s">
        <v>3</v>
      </c>
      <c r="D4" s="491" t="s">
        <v>316</v>
      </c>
      <c r="E4" s="491" t="s">
        <v>4</v>
      </c>
      <c r="F4" s="492" t="s">
        <v>5</v>
      </c>
      <c r="G4" s="492" t="s">
        <v>6</v>
      </c>
      <c r="H4" s="492" t="s">
        <v>7</v>
      </c>
      <c r="I4" s="493" t="s">
        <v>8</v>
      </c>
      <c r="J4" s="491" t="s">
        <v>312</v>
      </c>
      <c r="K4" s="573" t="s">
        <v>962</v>
      </c>
      <c r="L4" s="573" t="s">
        <v>963</v>
      </c>
      <c r="M4" s="493" t="s">
        <v>39</v>
      </c>
      <c r="N4" s="493" t="s">
        <v>40</v>
      </c>
      <c r="O4" s="493" t="s">
        <v>41</v>
      </c>
      <c r="P4" s="493" t="s">
        <v>42</v>
      </c>
      <c r="Q4" s="493" t="s">
        <v>9</v>
      </c>
    </row>
    <row r="5" spans="1:17" s="688" customFormat="1" ht="31.8" thickTop="1" thickBot="1" x14ac:dyDescent="0.25">
      <c r="A5" s="680">
        <v>29</v>
      </c>
      <c r="B5" s="681" t="s">
        <v>10</v>
      </c>
      <c r="C5" s="681" t="s">
        <v>31</v>
      </c>
      <c r="D5" s="681" t="s">
        <v>709</v>
      </c>
      <c r="E5" s="681" t="s">
        <v>710</v>
      </c>
      <c r="F5" s="523">
        <v>43647</v>
      </c>
      <c r="G5" s="523">
        <v>44012</v>
      </c>
      <c r="H5" s="681" t="s">
        <v>285</v>
      </c>
      <c r="I5" s="682" t="s">
        <v>11</v>
      </c>
      <c r="J5" s="683">
        <v>700000</v>
      </c>
      <c r="K5" s="684">
        <v>700000</v>
      </c>
      <c r="L5" s="684">
        <f>J5-K5</f>
        <v>0</v>
      </c>
      <c r="M5" s="685" t="s">
        <v>980</v>
      </c>
      <c r="N5" s="686"/>
      <c r="O5" s="686"/>
      <c r="P5" s="686"/>
      <c r="Q5" s="687"/>
    </row>
    <row r="6" spans="1:17" s="527" customFormat="1" ht="42.6" thickTop="1" thickBot="1" x14ac:dyDescent="0.35">
      <c r="A6" s="524" t="s">
        <v>19</v>
      </c>
      <c r="B6" s="525" t="s">
        <v>294</v>
      </c>
      <c r="C6" s="525" t="s">
        <v>296</v>
      </c>
      <c r="D6" s="525" t="s">
        <v>298</v>
      </c>
      <c r="E6" s="525" t="s">
        <v>290</v>
      </c>
      <c r="F6" s="523">
        <v>43647</v>
      </c>
      <c r="G6" s="523">
        <v>44012</v>
      </c>
      <c r="H6" s="525" t="s">
        <v>285</v>
      </c>
      <c r="I6" s="525" t="s">
        <v>11</v>
      </c>
      <c r="J6" s="526">
        <v>900000</v>
      </c>
      <c r="K6" s="574">
        <v>210000</v>
      </c>
      <c r="L6" s="574">
        <f>J6-K6</f>
        <v>690000</v>
      </c>
      <c r="M6" s="525" t="s">
        <v>271</v>
      </c>
      <c r="N6" s="124" t="s">
        <v>943</v>
      </c>
      <c r="O6" s="525" t="s">
        <v>301</v>
      </c>
      <c r="P6" s="525" t="s">
        <v>302</v>
      </c>
      <c r="Q6" s="525" t="s">
        <v>299</v>
      </c>
    </row>
    <row r="7" spans="1:17" ht="42" thickTop="1" thickBot="1" x14ac:dyDescent="0.35">
      <c r="A7" s="524" t="s">
        <v>19</v>
      </c>
      <c r="B7" s="525" t="s">
        <v>295</v>
      </c>
      <c r="C7" s="525" t="s">
        <v>297</v>
      </c>
      <c r="D7" s="525" t="s">
        <v>950</v>
      </c>
      <c r="E7" s="525" t="s">
        <v>948</v>
      </c>
      <c r="F7" s="523">
        <v>43647</v>
      </c>
      <c r="G7" s="523">
        <v>44012</v>
      </c>
      <c r="H7" s="525" t="s">
        <v>285</v>
      </c>
      <c r="I7" s="528" t="s">
        <v>11</v>
      </c>
      <c r="J7" s="529">
        <v>1175000</v>
      </c>
      <c r="K7" s="575">
        <v>375000</v>
      </c>
      <c r="L7" s="574">
        <f t="shared" ref="L7:L10" si="0">J7-K7</f>
        <v>800000</v>
      </c>
      <c r="M7" s="525" t="s">
        <v>889</v>
      </c>
      <c r="N7" s="525" t="s">
        <v>890</v>
      </c>
      <c r="O7" s="525" t="s">
        <v>891</v>
      </c>
      <c r="P7" s="525" t="s">
        <v>892</v>
      </c>
      <c r="Q7" s="525" t="s">
        <v>300</v>
      </c>
    </row>
    <row r="8" spans="1:17" ht="42" thickTop="1" thickBot="1" x14ac:dyDescent="0.35">
      <c r="A8" s="524" t="s">
        <v>19</v>
      </c>
      <c r="B8" s="525" t="s">
        <v>295</v>
      </c>
      <c r="C8" s="525" t="s">
        <v>297</v>
      </c>
      <c r="D8" s="525" t="s">
        <v>951</v>
      </c>
      <c r="E8" s="525" t="s">
        <v>949</v>
      </c>
      <c r="F8" s="523">
        <v>43647</v>
      </c>
      <c r="G8" s="523">
        <v>44012</v>
      </c>
      <c r="H8" s="525" t="s">
        <v>285</v>
      </c>
      <c r="I8" s="528" t="s">
        <v>11</v>
      </c>
      <c r="J8" s="529">
        <v>1750000</v>
      </c>
      <c r="K8" s="575">
        <v>1246000</v>
      </c>
      <c r="L8" s="574">
        <f>J8+K8</f>
        <v>2996000</v>
      </c>
      <c r="M8" s="525" t="s">
        <v>889</v>
      </c>
      <c r="N8" s="525" t="s">
        <v>890</v>
      </c>
      <c r="O8" s="525" t="s">
        <v>891</v>
      </c>
      <c r="P8" s="525" t="s">
        <v>892</v>
      </c>
      <c r="Q8" s="525" t="s">
        <v>300</v>
      </c>
    </row>
    <row r="9" spans="1:17" s="527" customFormat="1" ht="42.6" thickTop="1" thickBot="1" x14ac:dyDescent="0.35">
      <c r="A9" s="524" t="s">
        <v>19</v>
      </c>
      <c r="B9" s="525" t="s">
        <v>294</v>
      </c>
      <c r="C9" s="525" t="s">
        <v>296</v>
      </c>
      <c r="D9" s="525" t="s">
        <v>942</v>
      </c>
      <c r="E9" s="525" t="s">
        <v>941</v>
      </c>
      <c r="F9" s="523">
        <v>43647</v>
      </c>
      <c r="G9" s="523">
        <v>44012</v>
      </c>
      <c r="H9" s="525" t="s">
        <v>285</v>
      </c>
      <c r="I9" s="525" t="s">
        <v>11</v>
      </c>
      <c r="J9" s="526">
        <v>526000</v>
      </c>
      <c r="K9" s="574"/>
      <c r="L9" s="574">
        <f t="shared" si="0"/>
        <v>526000</v>
      </c>
      <c r="M9" s="525" t="s">
        <v>271</v>
      </c>
      <c r="N9" s="124" t="s">
        <v>943</v>
      </c>
      <c r="O9" s="525" t="s">
        <v>301</v>
      </c>
      <c r="P9" s="525" t="s">
        <v>302</v>
      </c>
      <c r="Q9" s="525" t="s">
        <v>299</v>
      </c>
    </row>
    <row r="10" spans="1:17" ht="42" thickTop="1" thickBot="1" x14ac:dyDescent="0.35">
      <c r="A10" s="524" t="s">
        <v>19</v>
      </c>
      <c r="B10" s="525" t="s">
        <v>295</v>
      </c>
      <c r="C10" s="525" t="s">
        <v>297</v>
      </c>
      <c r="D10" s="525" t="s">
        <v>310</v>
      </c>
      <c r="E10" s="525" t="s">
        <v>291</v>
      </c>
      <c r="F10" s="523">
        <v>43647</v>
      </c>
      <c r="G10" s="523">
        <v>44012</v>
      </c>
      <c r="H10" s="525" t="s">
        <v>285</v>
      </c>
      <c r="I10" s="528" t="s">
        <v>11</v>
      </c>
      <c r="J10" s="529">
        <v>1100000</v>
      </c>
      <c r="K10" s="575">
        <v>1092050</v>
      </c>
      <c r="L10" s="574">
        <f t="shared" si="0"/>
        <v>7950</v>
      </c>
      <c r="M10" s="525" t="s">
        <v>889</v>
      </c>
      <c r="N10" s="525" t="s">
        <v>890</v>
      </c>
      <c r="O10" s="525" t="s">
        <v>891</v>
      </c>
      <c r="P10" s="525" t="s">
        <v>892</v>
      </c>
      <c r="Q10" s="525" t="s">
        <v>300</v>
      </c>
    </row>
    <row r="11" spans="1:17" ht="10.8" thickTop="1" x14ac:dyDescent="0.3"/>
  </sheetData>
  <mergeCells count="2">
    <mergeCell ref="A1:Q2"/>
    <mergeCell ref="M5:Q5"/>
  </mergeCells>
  <pageMargins left="0.70866141732283472" right="0.70866141732283472" top="0.74803149606299213" bottom="0.74803149606299213" header="0.31496062992125984" footer="0.31496062992125984"/>
  <pageSetup paperSize="9" scale="60" fitToHeight="0" orientation="landscape" r:id="rId1"/>
  <headerFooter>
    <oddFooter>&amp;L 2018/19 SDBIP&amp;CLOCAL ECONOMIC DEVELOPMENT PROJECTS &amp;RPage &amp;P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Q15"/>
  <sheetViews>
    <sheetView view="pageBreakPreview" zoomScale="86" zoomScaleNormal="100" zoomScaleSheetLayoutView="86" workbookViewId="0">
      <selection activeCell="M10" sqref="M10:Q14"/>
    </sheetView>
  </sheetViews>
  <sheetFormatPr defaultColWidth="8.88671875" defaultRowHeight="10.199999999999999" x14ac:dyDescent="0.2"/>
  <cols>
    <col min="1" max="1" width="8.88671875" style="453"/>
    <col min="2" max="2" width="12.88671875" style="453" customWidth="1"/>
    <col min="3" max="3" width="12.44140625" style="453" customWidth="1"/>
    <col min="4" max="4" width="13.33203125" style="453" customWidth="1"/>
    <col min="5" max="5" width="12.6640625" style="453" customWidth="1"/>
    <col min="6" max="6" width="10.33203125" style="453" customWidth="1"/>
    <col min="7" max="7" width="11.33203125" style="453" customWidth="1"/>
    <col min="8" max="8" width="8.88671875" style="453"/>
    <col min="9" max="9" width="8.33203125" style="453" customWidth="1"/>
    <col min="10" max="12" width="9.33203125" style="453" customWidth="1"/>
    <col min="13" max="13" width="11.109375" style="453" customWidth="1"/>
    <col min="14" max="14" width="13.88671875" style="453" customWidth="1"/>
    <col min="15" max="15" width="15" style="453" customWidth="1"/>
    <col min="16" max="16" width="13.5546875" style="453" customWidth="1"/>
    <col min="17" max="17" width="13" style="453" customWidth="1"/>
    <col min="18" max="16384" width="8.88671875" style="453"/>
  </cols>
  <sheetData>
    <row r="1" spans="1:17" ht="10.8" thickTop="1" x14ac:dyDescent="0.2">
      <c r="A1" s="666" t="s">
        <v>610</v>
      </c>
      <c r="B1" s="667"/>
      <c r="C1" s="667"/>
      <c r="D1" s="667"/>
      <c r="E1" s="667"/>
      <c r="F1" s="667"/>
      <c r="G1" s="667"/>
      <c r="H1" s="667"/>
      <c r="I1" s="667"/>
      <c r="J1" s="667"/>
      <c r="K1" s="668"/>
      <c r="L1" s="668"/>
      <c r="M1" s="667"/>
      <c r="N1" s="667"/>
      <c r="O1" s="667"/>
      <c r="P1" s="667"/>
      <c r="Q1" s="669"/>
    </row>
    <row r="2" spans="1:17" ht="10.8" thickBot="1" x14ac:dyDescent="0.25">
      <c r="A2" s="670"/>
      <c r="B2" s="671"/>
      <c r="C2" s="671"/>
      <c r="D2" s="671"/>
      <c r="E2" s="671"/>
      <c r="F2" s="671"/>
      <c r="G2" s="671"/>
      <c r="H2" s="671"/>
      <c r="I2" s="671"/>
      <c r="J2" s="671"/>
      <c r="K2" s="671"/>
      <c r="L2" s="671"/>
      <c r="M2" s="671"/>
      <c r="N2" s="671"/>
      <c r="O2" s="671"/>
      <c r="P2" s="671"/>
      <c r="Q2" s="672"/>
    </row>
    <row r="3" spans="1:17" ht="11.4" thickTop="1" thickBot="1" x14ac:dyDescent="0.25">
      <c r="A3" s="488"/>
      <c r="B3" s="488"/>
      <c r="C3" s="488"/>
      <c r="D3" s="488" t="s">
        <v>511</v>
      </c>
      <c r="E3" s="488"/>
      <c r="F3" s="488"/>
      <c r="G3" s="488"/>
      <c r="H3" s="488"/>
      <c r="I3" s="488"/>
      <c r="J3" s="488"/>
      <c r="K3" s="488"/>
      <c r="L3" s="488"/>
      <c r="M3" s="488"/>
      <c r="N3" s="488"/>
      <c r="O3" s="488"/>
      <c r="P3" s="488"/>
      <c r="Q3" s="489"/>
    </row>
    <row r="4" spans="1:17" ht="21.6" thickTop="1" thickBot="1" x14ac:dyDescent="0.25">
      <c r="A4" s="511" t="s">
        <v>510</v>
      </c>
      <c r="B4" s="491" t="s">
        <v>2</v>
      </c>
      <c r="C4" s="491" t="s">
        <v>3</v>
      </c>
      <c r="D4" s="491" t="s">
        <v>316</v>
      </c>
      <c r="E4" s="491" t="s">
        <v>4</v>
      </c>
      <c r="F4" s="492" t="s">
        <v>5</v>
      </c>
      <c r="G4" s="492" t="s">
        <v>6</v>
      </c>
      <c r="H4" s="492" t="s">
        <v>7</v>
      </c>
      <c r="I4" s="493" t="s">
        <v>8</v>
      </c>
      <c r="J4" s="491" t="s">
        <v>311</v>
      </c>
      <c r="K4" s="573" t="s">
        <v>962</v>
      </c>
      <c r="L4" s="573" t="s">
        <v>963</v>
      </c>
      <c r="M4" s="493" t="s">
        <v>39</v>
      </c>
      <c r="N4" s="493" t="s">
        <v>40</v>
      </c>
      <c r="O4" s="493" t="s">
        <v>41</v>
      </c>
      <c r="P4" s="493" t="s">
        <v>42</v>
      </c>
      <c r="Q4" s="493" t="s">
        <v>9</v>
      </c>
    </row>
    <row r="5" spans="1:17" ht="52.2" customHeight="1" thickTop="1" thickBot="1" x14ac:dyDescent="0.25">
      <c r="A5" s="494" t="s">
        <v>25</v>
      </c>
      <c r="B5" s="495" t="s">
        <v>48</v>
      </c>
      <c r="C5" s="494" t="s">
        <v>860</v>
      </c>
      <c r="D5" s="494" t="s">
        <v>632</v>
      </c>
      <c r="E5" s="494" t="s">
        <v>629</v>
      </c>
      <c r="F5" s="497">
        <v>43647</v>
      </c>
      <c r="G5" s="497">
        <v>44012</v>
      </c>
      <c r="H5" s="494" t="s">
        <v>50</v>
      </c>
      <c r="I5" s="494" t="s">
        <v>11</v>
      </c>
      <c r="J5" s="510">
        <v>50000</v>
      </c>
      <c r="K5" s="576">
        <v>50000</v>
      </c>
      <c r="L5" s="576">
        <f>J5-K5</f>
        <v>0</v>
      </c>
      <c r="M5" s="640" t="s">
        <v>978</v>
      </c>
      <c r="N5" s="641"/>
      <c r="O5" s="641"/>
      <c r="P5" s="641"/>
      <c r="Q5" s="642"/>
    </row>
    <row r="6" spans="1:17" ht="42" customHeight="1" thickTop="1" thickBot="1" x14ac:dyDescent="0.25">
      <c r="A6" s="494" t="s">
        <v>25</v>
      </c>
      <c r="B6" s="495" t="s">
        <v>48</v>
      </c>
      <c r="C6" s="494" t="s">
        <v>860</v>
      </c>
      <c r="D6" s="494" t="s">
        <v>633</v>
      </c>
      <c r="E6" s="494" t="s">
        <v>634</v>
      </c>
      <c r="F6" s="497">
        <v>43647</v>
      </c>
      <c r="G6" s="497">
        <v>44012</v>
      </c>
      <c r="H6" s="494" t="s">
        <v>50</v>
      </c>
      <c r="I6" s="494" t="s">
        <v>11</v>
      </c>
      <c r="J6" s="510">
        <v>30000</v>
      </c>
      <c r="K6" s="576">
        <v>30000</v>
      </c>
      <c r="L6" s="576">
        <f t="shared" ref="L6:L14" si="0">J6-K6</f>
        <v>0</v>
      </c>
      <c r="M6" s="640" t="s">
        <v>978</v>
      </c>
      <c r="N6" s="641"/>
      <c r="O6" s="641"/>
      <c r="P6" s="641"/>
      <c r="Q6" s="642"/>
    </row>
    <row r="7" spans="1:17" ht="42" thickTop="1" thickBot="1" x14ac:dyDescent="0.25">
      <c r="A7" s="494" t="s">
        <v>25</v>
      </c>
      <c r="B7" s="495" t="s">
        <v>48</v>
      </c>
      <c r="C7" s="494" t="s">
        <v>860</v>
      </c>
      <c r="D7" s="494" t="s">
        <v>635</v>
      </c>
      <c r="E7" s="494" t="s">
        <v>636</v>
      </c>
      <c r="F7" s="497">
        <v>43647</v>
      </c>
      <c r="G7" s="497">
        <v>44012</v>
      </c>
      <c r="H7" s="494" t="s">
        <v>50</v>
      </c>
      <c r="I7" s="494" t="s">
        <v>11</v>
      </c>
      <c r="J7" s="510">
        <v>12000</v>
      </c>
      <c r="K7" s="576">
        <v>400</v>
      </c>
      <c r="L7" s="576">
        <f t="shared" si="0"/>
        <v>11600</v>
      </c>
      <c r="M7" s="494" t="s">
        <v>43</v>
      </c>
      <c r="N7" s="494" t="s">
        <v>861</v>
      </c>
      <c r="O7" s="494" t="s">
        <v>637</v>
      </c>
      <c r="P7" s="494" t="s">
        <v>12</v>
      </c>
      <c r="Q7" s="494" t="s">
        <v>508</v>
      </c>
    </row>
    <row r="8" spans="1:17" ht="52.2" thickTop="1" thickBot="1" x14ac:dyDescent="0.25">
      <c r="A8" s="494" t="s">
        <v>25</v>
      </c>
      <c r="B8" s="495" t="s">
        <v>48</v>
      </c>
      <c r="C8" s="494" t="s">
        <v>860</v>
      </c>
      <c r="D8" s="494" t="s">
        <v>640</v>
      </c>
      <c r="E8" s="494" t="s">
        <v>639</v>
      </c>
      <c r="F8" s="497">
        <v>43647</v>
      </c>
      <c r="G8" s="497">
        <v>44012</v>
      </c>
      <c r="H8" s="494" t="s">
        <v>50</v>
      </c>
      <c r="I8" s="494" t="s">
        <v>11</v>
      </c>
      <c r="J8" s="510">
        <v>150000</v>
      </c>
      <c r="K8" s="576">
        <v>0</v>
      </c>
      <c r="L8" s="576">
        <f t="shared" si="0"/>
        <v>150000</v>
      </c>
      <c r="M8" s="494" t="s">
        <v>43</v>
      </c>
      <c r="N8" s="494" t="s">
        <v>44</v>
      </c>
      <c r="O8" s="494" t="s">
        <v>638</v>
      </c>
      <c r="P8" s="494" t="s">
        <v>12</v>
      </c>
      <c r="Q8" s="494" t="s">
        <v>293</v>
      </c>
    </row>
    <row r="9" spans="1:17" ht="42" thickTop="1" thickBot="1" x14ac:dyDescent="0.25">
      <c r="A9" s="494" t="s">
        <v>25</v>
      </c>
      <c r="B9" s="495" t="s">
        <v>48</v>
      </c>
      <c r="C9" s="494" t="s">
        <v>860</v>
      </c>
      <c r="D9" s="494" t="s">
        <v>641</v>
      </c>
      <c r="E9" s="494" t="s">
        <v>642</v>
      </c>
      <c r="F9" s="497">
        <v>43647</v>
      </c>
      <c r="G9" s="497">
        <v>44012</v>
      </c>
      <c r="H9" s="494" t="s">
        <v>50</v>
      </c>
      <c r="I9" s="494" t="s">
        <v>11</v>
      </c>
      <c r="J9" s="510">
        <v>25000</v>
      </c>
      <c r="K9" s="576">
        <v>2600</v>
      </c>
      <c r="L9" s="576">
        <f>J9+K9</f>
        <v>27600</v>
      </c>
      <c r="M9" s="494" t="s">
        <v>43</v>
      </c>
      <c r="N9" s="494" t="s">
        <v>861</v>
      </c>
      <c r="O9" s="494" t="s">
        <v>643</v>
      </c>
      <c r="P9" s="494" t="s">
        <v>12</v>
      </c>
      <c r="Q9" s="494" t="s">
        <v>45</v>
      </c>
    </row>
    <row r="10" spans="1:17" ht="42" customHeight="1" thickTop="1" thickBot="1" x14ac:dyDescent="0.25">
      <c r="A10" s="494" t="s">
        <v>25</v>
      </c>
      <c r="B10" s="495" t="s">
        <v>48</v>
      </c>
      <c r="C10" s="494" t="s">
        <v>860</v>
      </c>
      <c r="D10" s="494" t="s">
        <v>653</v>
      </c>
      <c r="E10" s="494" t="s">
        <v>654</v>
      </c>
      <c r="F10" s="497">
        <v>43647</v>
      </c>
      <c r="G10" s="497">
        <v>44012</v>
      </c>
      <c r="H10" s="494" t="s">
        <v>50</v>
      </c>
      <c r="I10" s="494" t="s">
        <v>11</v>
      </c>
      <c r="J10" s="510">
        <v>500000</v>
      </c>
      <c r="K10" s="576">
        <v>500000</v>
      </c>
      <c r="L10" s="576">
        <f t="shared" si="0"/>
        <v>0</v>
      </c>
      <c r="M10" s="640" t="s">
        <v>978</v>
      </c>
      <c r="N10" s="641"/>
      <c r="O10" s="641"/>
      <c r="P10" s="641"/>
      <c r="Q10" s="642"/>
    </row>
    <row r="11" spans="1:17" ht="42" customHeight="1" thickTop="1" thickBot="1" x14ac:dyDescent="0.25">
      <c r="A11" s="494" t="s">
        <v>25</v>
      </c>
      <c r="B11" s="495" t="s">
        <v>48</v>
      </c>
      <c r="C11" s="494" t="s">
        <v>860</v>
      </c>
      <c r="D11" s="500" t="s">
        <v>644</v>
      </c>
      <c r="E11" s="512" t="s">
        <v>645</v>
      </c>
      <c r="F11" s="497">
        <v>43647</v>
      </c>
      <c r="G11" s="497">
        <v>44012</v>
      </c>
      <c r="H11" s="498" t="s">
        <v>49</v>
      </c>
      <c r="I11" s="498" t="s">
        <v>11</v>
      </c>
      <c r="J11" s="502">
        <v>350000</v>
      </c>
      <c r="K11" s="577">
        <v>350000</v>
      </c>
      <c r="L11" s="576">
        <f t="shared" si="0"/>
        <v>0</v>
      </c>
      <c r="M11" s="640" t="s">
        <v>978</v>
      </c>
      <c r="N11" s="641"/>
      <c r="O11" s="641"/>
      <c r="P11" s="641"/>
      <c r="Q11" s="642"/>
    </row>
    <row r="12" spans="1:17" ht="42" customHeight="1" thickTop="1" thickBot="1" x14ac:dyDescent="0.25">
      <c r="A12" s="494" t="s">
        <v>25</v>
      </c>
      <c r="B12" s="495" t="s">
        <v>48</v>
      </c>
      <c r="C12" s="494" t="s">
        <v>860</v>
      </c>
      <c r="D12" s="494" t="s">
        <v>646</v>
      </c>
      <c r="E12" s="494" t="s">
        <v>647</v>
      </c>
      <c r="F12" s="497">
        <v>43647</v>
      </c>
      <c r="G12" s="497">
        <v>44012</v>
      </c>
      <c r="H12" s="494" t="s">
        <v>50</v>
      </c>
      <c r="I12" s="494" t="s">
        <v>11</v>
      </c>
      <c r="J12" s="510">
        <v>100000</v>
      </c>
      <c r="K12" s="576">
        <v>100000</v>
      </c>
      <c r="L12" s="576">
        <f t="shared" si="0"/>
        <v>0</v>
      </c>
      <c r="M12" s="640" t="s">
        <v>978</v>
      </c>
      <c r="N12" s="641"/>
      <c r="O12" s="641"/>
      <c r="P12" s="641"/>
      <c r="Q12" s="642"/>
    </row>
    <row r="13" spans="1:17" ht="42" customHeight="1" thickTop="1" thickBot="1" x14ac:dyDescent="0.25">
      <c r="A13" s="494" t="s">
        <v>25</v>
      </c>
      <c r="B13" s="495" t="s">
        <v>48</v>
      </c>
      <c r="C13" s="494" t="s">
        <v>860</v>
      </c>
      <c r="D13" s="494" t="s">
        <v>648</v>
      </c>
      <c r="E13" s="494" t="s">
        <v>649</v>
      </c>
      <c r="F13" s="497">
        <v>43647</v>
      </c>
      <c r="G13" s="497">
        <v>44012</v>
      </c>
      <c r="H13" s="494" t="s">
        <v>50</v>
      </c>
      <c r="I13" s="494" t="s">
        <v>11</v>
      </c>
      <c r="J13" s="510">
        <v>150000</v>
      </c>
      <c r="K13" s="576">
        <v>150000</v>
      </c>
      <c r="L13" s="576">
        <f t="shared" si="0"/>
        <v>0</v>
      </c>
      <c r="M13" s="640" t="s">
        <v>978</v>
      </c>
      <c r="N13" s="641"/>
      <c r="O13" s="641"/>
      <c r="P13" s="641"/>
      <c r="Q13" s="642"/>
    </row>
    <row r="14" spans="1:17" ht="42" customHeight="1" thickTop="1" thickBot="1" x14ac:dyDescent="0.25">
      <c r="A14" s="494" t="s">
        <v>25</v>
      </c>
      <c r="B14" s="495" t="s">
        <v>48</v>
      </c>
      <c r="C14" s="494" t="s">
        <v>860</v>
      </c>
      <c r="D14" s="494" t="s">
        <v>650</v>
      </c>
      <c r="E14" s="494" t="s">
        <v>652</v>
      </c>
      <c r="F14" s="497">
        <v>43647</v>
      </c>
      <c r="G14" s="497">
        <v>44012</v>
      </c>
      <c r="H14" s="494" t="s">
        <v>50</v>
      </c>
      <c r="I14" s="494" t="s">
        <v>11</v>
      </c>
      <c r="J14" s="510">
        <v>800000</v>
      </c>
      <c r="K14" s="576">
        <v>800000</v>
      </c>
      <c r="L14" s="576">
        <f t="shared" si="0"/>
        <v>0</v>
      </c>
      <c r="M14" s="640" t="s">
        <v>978</v>
      </c>
      <c r="N14" s="641"/>
      <c r="O14" s="641"/>
      <c r="P14" s="641"/>
      <c r="Q14" s="642"/>
    </row>
    <row r="15" spans="1:17" ht="10.8" thickTop="1" x14ac:dyDescent="0.2"/>
  </sheetData>
  <mergeCells count="8">
    <mergeCell ref="M13:Q13"/>
    <mergeCell ref="M14:Q14"/>
    <mergeCell ref="A1:Q2"/>
    <mergeCell ref="M5:Q5"/>
    <mergeCell ref="M6:Q6"/>
    <mergeCell ref="M10:Q10"/>
    <mergeCell ref="M11:Q11"/>
    <mergeCell ref="M12:Q12"/>
  </mergeCells>
  <pageMargins left="0.70866141732283472" right="0.70866141732283472" top="0.74803149606299213" bottom="0.74803149606299213" header="0.31496062992125984" footer="0.31496062992125984"/>
  <pageSetup paperSize="9" scale="67" fitToHeight="0" orientation="landscape" r:id="rId1"/>
  <headerFooter>
    <oddFooter>&amp;L2018/19  SDBIP&amp;CMUNICIPAL FINANCIAL VIABILITY PROJECTS &amp;RPage &amp;P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Q12"/>
  <sheetViews>
    <sheetView view="pageBreakPreview" zoomScale="91" zoomScaleNormal="100" zoomScaleSheetLayoutView="91" workbookViewId="0">
      <selection activeCell="E6" sqref="E6:E11"/>
    </sheetView>
  </sheetViews>
  <sheetFormatPr defaultColWidth="8.88671875" defaultRowHeight="10.199999999999999" x14ac:dyDescent="0.2"/>
  <cols>
    <col min="1" max="1" width="7.6640625" style="453" customWidth="1"/>
    <col min="2" max="2" width="12.88671875" style="453" customWidth="1"/>
    <col min="3" max="3" width="10.88671875" style="453" customWidth="1"/>
    <col min="4" max="4" width="13.88671875" style="453" customWidth="1"/>
    <col min="5" max="5" width="12.33203125" style="453" customWidth="1"/>
    <col min="6" max="6" width="11" style="453" customWidth="1"/>
    <col min="7" max="7" width="10.5546875" style="453" customWidth="1"/>
    <col min="8" max="8" width="8.88671875" style="453"/>
    <col min="9" max="9" width="8.88671875" style="453" customWidth="1"/>
    <col min="10" max="12" width="11.33203125" style="453" customWidth="1"/>
    <col min="13" max="13" width="12.109375" style="453" customWidth="1"/>
    <col min="14" max="14" width="13.33203125" style="453" customWidth="1"/>
    <col min="15" max="15" width="11.33203125" style="453" customWidth="1"/>
    <col min="16" max="16" width="11.88671875" style="453" customWidth="1"/>
    <col min="17" max="17" width="10.6640625" style="453" customWidth="1"/>
    <col min="18" max="16384" width="8.88671875" style="453"/>
  </cols>
  <sheetData>
    <row r="1" spans="1:17" ht="10.8" thickTop="1" x14ac:dyDescent="0.2">
      <c r="A1" s="643" t="s">
        <v>609</v>
      </c>
      <c r="B1" s="644"/>
      <c r="C1" s="644"/>
      <c r="D1" s="644"/>
      <c r="E1" s="644"/>
      <c r="F1" s="644"/>
      <c r="G1" s="644"/>
      <c r="H1" s="644"/>
      <c r="I1" s="644"/>
      <c r="J1" s="644"/>
      <c r="K1" s="645"/>
      <c r="L1" s="645"/>
      <c r="M1" s="644"/>
      <c r="N1" s="644"/>
      <c r="O1" s="644"/>
      <c r="P1" s="644"/>
      <c r="Q1" s="646"/>
    </row>
    <row r="2" spans="1:17" ht="10.8" thickBot="1" x14ac:dyDescent="0.25">
      <c r="A2" s="647"/>
      <c r="B2" s="648"/>
      <c r="C2" s="648"/>
      <c r="D2" s="648"/>
      <c r="E2" s="648"/>
      <c r="F2" s="648"/>
      <c r="G2" s="648"/>
      <c r="H2" s="648"/>
      <c r="I2" s="648"/>
      <c r="J2" s="648"/>
      <c r="K2" s="648"/>
      <c r="L2" s="648"/>
      <c r="M2" s="648"/>
      <c r="N2" s="648"/>
      <c r="O2" s="648"/>
      <c r="P2" s="648"/>
      <c r="Q2" s="649"/>
    </row>
    <row r="3" spans="1:17" ht="11.4" thickTop="1" thickBot="1" x14ac:dyDescent="0.25">
      <c r="A3" s="513"/>
      <c r="B3" s="514"/>
      <c r="C3" s="514"/>
      <c r="D3" s="514"/>
      <c r="E3" s="514" t="s">
        <v>53</v>
      </c>
      <c r="F3" s="514"/>
      <c r="G3" s="514"/>
      <c r="H3" s="514"/>
      <c r="I3" s="514"/>
      <c r="J3" s="514"/>
      <c r="K3" s="578"/>
      <c r="L3" s="578"/>
      <c r="M3" s="514"/>
      <c r="N3" s="514"/>
      <c r="O3" s="514"/>
      <c r="P3" s="514"/>
      <c r="Q3" s="515"/>
    </row>
    <row r="4" spans="1:17" ht="21.6" thickTop="1" thickBot="1" x14ac:dyDescent="0.25">
      <c r="A4" s="516" t="s">
        <v>344</v>
      </c>
      <c r="B4" s="491" t="s">
        <v>2</v>
      </c>
      <c r="C4" s="491" t="s">
        <v>3</v>
      </c>
      <c r="D4" s="491" t="s">
        <v>316</v>
      </c>
      <c r="E4" s="491" t="s">
        <v>4</v>
      </c>
      <c r="F4" s="492" t="s">
        <v>5</v>
      </c>
      <c r="G4" s="492" t="s">
        <v>6</v>
      </c>
      <c r="H4" s="492" t="s">
        <v>7</v>
      </c>
      <c r="I4" s="493" t="s">
        <v>8</v>
      </c>
      <c r="J4" s="491" t="s">
        <v>312</v>
      </c>
      <c r="K4" s="573" t="s">
        <v>962</v>
      </c>
      <c r="L4" s="573" t="s">
        <v>963</v>
      </c>
      <c r="M4" s="493" t="s">
        <v>39</v>
      </c>
      <c r="N4" s="493" t="s">
        <v>40</v>
      </c>
      <c r="O4" s="493" t="s">
        <v>41</v>
      </c>
      <c r="P4" s="493" t="s">
        <v>42</v>
      </c>
      <c r="Q4" s="493" t="s">
        <v>9</v>
      </c>
    </row>
    <row r="5" spans="1:17" ht="11.4" thickTop="1" thickBot="1" x14ac:dyDescent="0.25"/>
    <row r="6" spans="1:17" ht="42" customHeight="1" thickTop="1" thickBot="1" x14ac:dyDescent="0.25">
      <c r="A6" s="494" t="s">
        <v>25</v>
      </c>
      <c r="B6" s="495" t="s">
        <v>48</v>
      </c>
      <c r="C6" s="494" t="s">
        <v>862</v>
      </c>
      <c r="D6" s="494" t="s">
        <v>966</v>
      </c>
      <c r="E6" s="509" t="s">
        <v>932</v>
      </c>
      <c r="F6" s="497">
        <v>43647</v>
      </c>
      <c r="G6" s="497">
        <v>44012</v>
      </c>
      <c r="H6" s="498" t="s">
        <v>49</v>
      </c>
      <c r="I6" s="498" t="s">
        <v>11</v>
      </c>
      <c r="J6" s="510">
        <v>20000</v>
      </c>
      <c r="K6" s="576">
        <v>20000</v>
      </c>
      <c r="L6" s="576">
        <f>J6-K6</f>
        <v>0</v>
      </c>
      <c r="M6" s="640" t="s">
        <v>979</v>
      </c>
      <c r="N6" s="641"/>
      <c r="O6" s="641"/>
      <c r="P6" s="641"/>
      <c r="Q6" s="642"/>
    </row>
    <row r="7" spans="1:17" ht="42" customHeight="1" thickTop="1" thickBot="1" x14ac:dyDescent="0.25">
      <c r="A7" s="494" t="s">
        <v>25</v>
      </c>
      <c r="B7" s="495" t="s">
        <v>48</v>
      </c>
      <c r="C7" s="494" t="s">
        <v>863</v>
      </c>
      <c r="D7" s="500" t="s">
        <v>628</v>
      </c>
      <c r="E7" s="512" t="s">
        <v>631</v>
      </c>
      <c r="F7" s="497">
        <v>43647</v>
      </c>
      <c r="G7" s="497">
        <v>44012</v>
      </c>
      <c r="H7" s="498" t="s">
        <v>49</v>
      </c>
      <c r="I7" s="498" t="s">
        <v>11</v>
      </c>
      <c r="J7" s="502">
        <v>500000</v>
      </c>
      <c r="K7" s="577">
        <v>500000</v>
      </c>
      <c r="L7" s="576">
        <f t="shared" ref="L7:L11" si="0">J7-K7</f>
        <v>0</v>
      </c>
      <c r="M7" s="640" t="s">
        <v>979</v>
      </c>
      <c r="N7" s="641"/>
      <c r="O7" s="641"/>
      <c r="P7" s="641"/>
      <c r="Q7" s="642"/>
    </row>
    <row r="8" spans="1:17" ht="42" customHeight="1" thickTop="1" thickBot="1" x14ac:dyDescent="0.25">
      <c r="A8" s="498" t="s">
        <v>25</v>
      </c>
      <c r="B8" s="504" t="s">
        <v>48</v>
      </c>
      <c r="C8" s="498" t="s">
        <v>20</v>
      </c>
      <c r="D8" s="498" t="s">
        <v>657</v>
      </c>
      <c r="E8" s="498" t="s">
        <v>658</v>
      </c>
      <c r="F8" s="497">
        <v>43647</v>
      </c>
      <c r="G8" s="497">
        <v>44012</v>
      </c>
      <c r="H8" s="498" t="s">
        <v>49</v>
      </c>
      <c r="I8" s="517" t="s">
        <v>11</v>
      </c>
      <c r="J8" s="518">
        <v>20000</v>
      </c>
      <c r="K8" s="577">
        <v>20000</v>
      </c>
      <c r="L8" s="576">
        <f t="shared" si="0"/>
        <v>0</v>
      </c>
      <c r="M8" s="640" t="s">
        <v>979</v>
      </c>
      <c r="N8" s="641"/>
      <c r="O8" s="641"/>
      <c r="P8" s="641"/>
      <c r="Q8" s="642"/>
    </row>
    <row r="9" spans="1:17" ht="42" customHeight="1" thickTop="1" thickBot="1" x14ac:dyDescent="0.25">
      <c r="A9" s="498" t="s">
        <v>25</v>
      </c>
      <c r="B9" s="504" t="s">
        <v>48</v>
      </c>
      <c r="C9" s="498" t="s">
        <v>20</v>
      </c>
      <c r="D9" s="498" t="s">
        <v>655</v>
      </c>
      <c r="E9" s="498" t="s">
        <v>656</v>
      </c>
      <c r="F9" s="497">
        <v>43647</v>
      </c>
      <c r="G9" s="497">
        <v>44012</v>
      </c>
      <c r="H9" s="498" t="s">
        <v>49</v>
      </c>
      <c r="I9" s="517" t="s">
        <v>11</v>
      </c>
      <c r="J9" s="518">
        <v>15000</v>
      </c>
      <c r="K9" s="577">
        <v>15000</v>
      </c>
      <c r="L9" s="576">
        <f t="shared" si="0"/>
        <v>0</v>
      </c>
      <c r="M9" s="640" t="s">
        <v>979</v>
      </c>
      <c r="N9" s="641"/>
      <c r="O9" s="641"/>
      <c r="P9" s="641"/>
      <c r="Q9" s="642"/>
    </row>
    <row r="10" spans="1:17" ht="42" thickTop="1" thickBot="1" x14ac:dyDescent="0.25">
      <c r="A10" s="498" t="s">
        <v>25</v>
      </c>
      <c r="B10" s="504" t="s">
        <v>48</v>
      </c>
      <c r="C10" s="498" t="s">
        <v>20</v>
      </c>
      <c r="D10" s="498" t="s">
        <v>680</v>
      </c>
      <c r="E10" s="498" t="s">
        <v>930</v>
      </c>
      <c r="F10" s="497">
        <v>43647</v>
      </c>
      <c r="G10" s="497">
        <v>44012</v>
      </c>
      <c r="H10" s="498" t="s">
        <v>49</v>
      </c>
      <c r="I10" s="517" t="s">
        <v>11</v>
      </c>
      <c r="J10" s="518">
        <v>120000</v>
      </c>
      <c r="K10" s="577">
        <v>0</v>
      </c>
      <c r="L10" s="576">
        <f t="shared" si="0"/>
        <v>120000</v>
      </c>
      <c r="M10" s="498" t="s">
        <v>43</v>
      </c>
      <c r="N10" s="498" t="s">
        <v>651</v>
      </c>
      <c r="O10" s="496" t="s">
        <v>269</v>
      </c>
      <c r="P10" s="498" t="s">
        <v>679</v>
      </c>
      <c r="Q10" s="496" t="s">
        <v>508</v>
      </c>
    </row>
    <row r="11" spans="1:17" ht="42" thickTop="1" thickBot="1" x14ac:dyDescent="0.25">
      <c r="A11" s="498" t="s">
        <v>25</v>
      </c>
      <c r="B11" s="504" t="s">
        <v>48</v>
      </c>
      <c r="C11" s="498" t="s">
        <v>20</v>
      </c>
      <c r="D11" s="498" t="s">
        <v>685</v>
      </c>
      <c r="E11" s="498" t="s">
        <v>931</v>
      </c>
      <c r="F11" s="497">
        <v>43647</v>
      </c>
      <c r="G11" s="497">
        <v>44012</v>
      </c>
      <c r="H11" s="498" t="s">
        <v>49</v>
      </c>
      <c r="I11" s="517" t="s">
        <v>11</v>
      </c>
      <c r="J11" s="518">
        <v>15000</v>
      </c>
      <c r="K11" s="577">
        <v>11000</v>
      </c>
      <c r="L11" s="576">
        <f t="shared" si="0"/>
        <v>4000</v>
      </c>
      <c r="M11" s="498" t="s">
        <v>43</v>
      </c>
      <c r="N11" s="498" t="s">
        <v>651</v>
      </c>
      <c r="O11" s="496" t="s">
        <v>269</v>
      </c>
      <c r="P11" s="498" t="s">
        <v>684</v>
      </c>
      <c r="Q11" s="496" t="s">
        <v>508</v>
      </c>
    </row>
    <row r="12" spans="1:17" ht="10.8" thickTop="1" x14ac:dyDescent="0.2"/>
  </sheetData>
  <mergeCells count="5">
    <mergeCell ref="A1:Q2"/>
    <mergeCell ref="M6:Q6"/>
    <mergeCell ref="M8:Q8"/>
    <mergeCell ref="M9:Q9"/>
    <mergeCell ref="M7:Q7"/>
  </mergeCells>
  <pageMargins left="0.70866141732283472" right="0.70866141732283472" top="0.74803149606299213" bottom="0.74803149606299213" header="0.31496062992125984" footer="0.31496062992125984"/>
  <pageSetup paperSize="9" scale="68" fitToHeight="0" orientation="landscape" r:id="rId1"/>
  <headerFooter>
    <oddFooter>&amp;L2018/19 SDBIP&amp;CGOOD GOVERNANCE AND PUBLIC PARTICIPATION PROJECTS &amp;RPage &amp;P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2530D-BF86-4C10-86DA-EDEA8C771B0C}">
  <dimension ref="A1:A3"/>
  <sheetViews>
    <sheetView workbookViewId="0">
      <selection activeCell="L9" sqref="L9"/>
    </sheetView>
  </sheetViews>
  <sheetFormatPr defaultRowHeight="14.4" x14ac:dyDescent="0.3"/>
  <sheetData>
    <row r="1" spans="1:1" s="584" customFormat="1" ht="21" x14ac:dyDescent="0.4">
      <c r="A1" s="584" t="s">
        <v>1022</v>
      </c>
    </row>
    <row r="3" spans="1:1" x14ac:dyDescent="0.3">
      <c r="A3" t="s">
        <v>1023</v>
      </c>
    </row>
  </sheetData>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R53"/>
  <sheetViews>
    <sheetView view="pageBreakPreview" zoomScaleNormal="100" zoomScaleSheetLayoutView="100" workbookViewId="0">
      <selection activeCell="B6" sqref="B6"/>
    </sheetView>
  </sheetViews>
  <sheetFormatPr defaultColWidth="9.109375" defaultRowHeight="14.4" x14ac:dyDescent="0.3"/>
  <cols>
    <col min="1" max="1" width="41.44140625" style="1" customWidth="1"/>
    <col min="2" max="2" width="104.5546875" style="1" customWidth="1"/>
    <col min="3" max="13" width="9.109375" style="1"/>
    <col min="14" max="14" width="24.33203125" style="1" customWidth="1"/>
    <col min="15" max="16384" width="9.109375" style="1"/>
  </cols>
  <sheetData>
    <row r="1" spans="1:2" ht="40.5" customHeight="1" thickTop="1" thickBot="1" x14ac:dyDescent="0.35">
      <c r="A1" s="673" t="s">
        <v>964</v>
      </c>
      <c r="B1" s="674"/>
    </row>
    <row r="2" spans="1:2" ht="43.8" thickTop="1" x14ac:dyDescent="0.3">
      <c r="A2" s="13" t="s">
        <v>231</v>
      </c>
      <c r="B2" s="14" t="s">
        <v>232</v>
      </c>
    </row>
    <row r="3" spans="1:2" x14ac:dyDescent="0.3">
      <c r="A3" s="675"/>
      <c r="B3" s="677"/>
    </row>
    <row r="4" spans="1:2" ht="15" thickBot="1" x14ac:dyDescent="0.35">
      <c r="A4" s="676"/>
      <c r="B4" s="678"/>
    </row>
    <row r="5" spans="1:2" ht="45" customHeight="1" thickTop="1" thickBot="1" x14ac:dyDescent="0.35">
      <c r="A5" s="15" t="s">
        <v>233</v>
      </c>
      <c r="B5" s="16" t="s">
        <v>234</v>
      </c>
    </row>
    <row r="6" spans="1:2" ht="231.6" thickTop="1" thickBot="1" x14ac:dyDescent="0.35">
      <c r="A6" s="17" t="s">
        <v>235</v>
      </c>
      <c r="B6" s="18" t="s">
        <v>965</v>
      </c>
    </row>
    <row r="7" spans="1:2" ht="15" thickTop="1" x14ac:dyDescent="0.3"/>
    <row r="53" spans="18:18" x14ac:dyDescent="0.3">
      <c r="R53" s="3"/>
    </row>
  </sheetData>
  <mergeCells count="3">
    <mergeCell ref="A1:B1"/>
    <mergeCell ref="A3:A4"/>
    <mergeCell ref="B3:B4"/>
  </mergeCells>
  <pageMargins left="0.70866141732283472" right="0.70866141732283472" top="0.74803149606299213" bottom="0.74803149606299213" header="0.31496062992125984" footer="0.31496062992125984"/>
  <pageSetup paperSize="9" scale="85" orientation="landscape" r:id="rId1"/>
  <headerFooter>
    <oddFooter>&amp;CAPPROVAL 2018/19 SDBIP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52"/>
  <sheetViews>
    <sheetView view="pageBreakPreview" topLeftCell="A5" zoomScale="60" zoomScaleNormal="100" workbookViewId="0">
      <selection activeCell="P32" sqref="P32"/>
    </sheetView>
  </sheetViews>
  <sheetFormatPr defaultColWidth="9.109375" defaultRowHeight="14.4" x14ac:dyDescent="0.3"/>
  <cols>
    <col min="1" max="1" width="11.33203125" style="21" customWidth="1"/>
    <col min="2" max="2" width="92" style="21" customWidth="1"/>
    <col min="3" max="13" width="9.109375" style="21"/>
    <col min="14" max="14" width="24.33203125" style="21" customWidth="1"/>
    <col min="15" max="16384" width="9.109375" style="21"/>
  </cols>
  <sheetData>
    <row r="1" spans="1:2" ht="166.2" thickTop="1" x14ac:dyDescent="0.3">
      <c r="A1" s="19" t="s">
        <v>239</v>
      </c>
      <c r="B1" s="20" t="s">
        <v>240</v>
      </c>
    </row>
    <row r="2" spans="1:2" ht="165.6" x14ac:dyDescent="0.3">
      <c r="A2" s="22"/>
      <c r="B2" s="23" t="s">
        <v>241</v>
      </c>
    </row>
    <row r="3" spans="1:2" ht="111" thickBot="1" x14ac:dyDescent="0.35">
      <c r="A3" s="24"/>
      <c r="B3" s="25" t="s">
        <v>242</v>
      </c>
    </row>
    <row r="4" spans="1:2" ht="194.4" thickTop="1" thickBot="1" x14ac:dyDescent="0.35">
      <c r="A4" s="586" t="s">
        <v>243</v>
      </c>
      <c r="B4" s="20" t="s">
        <v>244</v>
      </c>
    </row>
    <row r="5" spans="1:2" ht="180.6" thickTop="1" thickBot="1" x14ac:dyDescent="0.35">
      <c r="A5" s="586"/>
      <c r="B5" s="25" t="s">
        <v>245</v>
      </c>
    </row>
    <row r="6" spans="1:2" ht="139.19999999999999" thickTop="1" thickBot="1" x14ac:dyDescent="0.35">
      <c r="A6" s="120"/>
      <c r="B6" s="25" t="s">
        <v>246</v>
      </c>
    </row>
    <row r="7" spans="1:2" ht="15" thickTop="1" x14ac:dyDescent="0.3"/>
    <row r="52" spans="18:18" x14ac:dyDescent="0.3">
      <c r="R52" s="3"/>
    </row>
  </sheetData>
  <mergeCells count="1">
    <mergeCell ref="A4:A5"/>
  </mergeCells>
  <pageMargins left="0.70866141732283472" right="0.70866141732283472" top="0.74803149606299213" bottom="0.74803149606299213" header="0.31496062992125984" footer="0.31496062992125984"/>
  <pageSetup paperSize="9" scale="84" orientation="portrait" r:id="rId1"/>
  <headerFooter>
    <oddFooter>&amp;L2019/20 SDBIP&amp;CINTRODUCTION&amp;RPage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53"/>
  <sheetViews>
    <sheetView view="pageBreakPreview" zoomScale="60" zoomScaleNormal="100" workbookViewId="0">
      <selection activeCell="P32" sqref="P32"/>
    </sheetView>
  </sheetViews>
  <sheetFormatPr defaultColWidth="9.109375" defaultRowHeight="14.4" x14ac:dyDescent="0.3"/>
  <cols>
    <col min="1" max="1" width="11.109375" style="21" customWidth="1"/>
    <col min="2" max="2" width="76.6640625" style="21" customWidth="1"/>
    <col min="3" max="13" width="9.109375" style="21"/>
    <col min="14" max="14" width="24.33203125" style="21" customWidth="1"/>
    <col min="15" max="16384" width="9.109375" style="21"/>
  </cols>
  <sheetData>
    <row r="1" spans="1:2" ht="166.8" thickTop="1" thickBot="1" x14ac:dyDescent="0.35">
      <c r="A1" s="587" t="s">
        <v>247</v>
      </c>
      <c r="B1" s="26" t="s">
        <v>248</v>
      </c>
    </row>
    <row r="2" spans="1:2" ht="235.8" thickTop="1" thickBot="1" x14ac:dyDescent="0.35">
      <c r="A2" s="587"/>
      <c r="B2" s="26" t="s">
        <v>249</v>
      </c>
    </row>
    <row r="3" spans="1:2" ht="15.6" hidden="1" thickTop="1" thickBot="1" x14ac:dyDescent="0.35">
      <c r="A3" s="27"/>
      <c r="B3" s="28"/>
    </row>
    <row r="4" spans="1:2" ht="15" thickTop="1" x14ac:dyDescent="0.3"/>
    <row r="53" spans="18:18" x14ac:dyDescent="0.3">
      <c r="R53" s="3"/>
    </row>
  </sheetData>
  <mergeCells count="1">
    <mergeCell ref="A1:A2"/>
  </mergeCells>
  <pageMargins left="0.70866141732283472" right="0.70866141732283472" top="0.74803149606299213" bottom="0.74803149606299213" header="0.31496062992125984" footer="0.31496062992125984"/>
  <pageSetup paperSize="9" scale="99" orientation="portrait" r:id="rId1"/>
  <headerFooter>
    <oddFooter>&amp;L2019/20 SDBIP&amp;CMETHODOLOGY&amp;RPage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53"/>
  <sheetViews>
    <sheetView view="pageBreakPreview" zoomScale="60" zoomScaleNormal="100" workbookViewId="0">
      <selection activeCell="P32" sqref="P32"/>
    </sheetView>
  </sheetViews>
  <sheetFormatPr defaultColWidth="12.33203125" defaultRowHeight="14.4" x14ac:dyDescent="0.3"/>
  <cols>
    <col min="1" max="1" width="9.5546875" style="21" customWidth="1"/>
    <col min="2" max="2" width="76.6640625" style="21" customWidth="1"/>
    <col min="3" max="16384" width="12.33203125" style="21"/>
  </cols>
  <sheetData>
    <row r="1" spans="1:2" ht="264.60000000000002" customHeight="1" thickTop="1" thickBot="1" x14ac:dyDescent="0.35">
      <c r="A1" s="42" t="s">
        <v>250</v>
      </c>
      <c r="B1" s="29" t="s">
        <v>315</v>
      </c>
    </row>
    <row r="2" spans="1:2" ht="141" customHeight="1" thickTop="1" thickBot="1" x14ac:dyDescent="0.35">
      <c r="A2" s="588" t="s">
        <v>251</v>
      </c>
      <c r="B2" s="30" t="s">
        <v>252</v>
      </c>
    </row>
    <row r="3" spans="1:2" ht="15.6" thickTop="1" thickBot="1" x14ac:dyDescent="0.35">
      <c r="A3" s="588"/>
      <c r="B3" s="31"/>
    </row>
    <row r="4" spans="1:2" ht="15" thickTop="1" x14ac:dyDescent="0.3"/>
    <row r="53" spans="18:18" x14ac:dyDescent="0.3">
      <c r="R53" s="3"/>
    </row>
  </sheetData>
  <mergeCells count="1">
    <mergeCell ref="A2:A3"/>
  </mergeCells>
  <pageMargins left="0.70866141732283472" right="0.70866141732283472" top="0.74803149606299213" bottom="0.74803149606299213" header="0.31496062992125984" footer="0.31496062992125984"/>
  <pageSetup paperSize="9" scale="97" orientation="portrait" r:id="rId1"/>
  <headerFooter>
    <oddFooter>&amp;L2019/20 SDBIP&amp;CVISION &amp; MISSION&amp;RPage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53"/>
  <sheetViews>
    <sheetView view="pageBreakPreview" zoomScale="60" zoomScaleNormal="100" workbookViewId="0">
      <selection activeCell="P32" sqref="P32"/>
    </sheetView>
  </sheetViews>
  <sheetFormatPr defaultColWidth="9.109375" defaultRowHeight="14.4" x14ac:dyDescent="0.3"/>
  <cols>
    <col min="1" max="1" width="11.109375" style="21" customWidth="1"/>
    <col min="2" max="2" width="12.5546875" style="21" customWidth="1"/>
    <col min="3" max="3" width="77.109375" style="21" customWidth="1"/>
    <col min="4" max="13" width="9.109375" style="21"/>
    <col min="14" max="14" width="24.33203125" style="21" customWidth="1"/>
    <col min="15" max="16384" width="9.109375" style="21"/>
  </cols>
  <sheetData>
    <row r="1" spans="1:7" ht="15.75" customHeight="1" thickTop="1" thickBot="1" x14ac:dyDescent="0.35">
      <c r="A1" s="589" t="s">
        <v>253</v>
      </c>
      <c r="B1" s="32" t="s">
        <v>254</v>
      </c>
      <c r="C1" s="32" t="s">
        <v>255</v>
      </c>
    </row>
    <row r="2" spans="1:7" ht="51" customHeight="1" thickTop="1" thickBot="1" x14ac:dyDescent="0.35">
      <c r="A2" s="590"/>
      <c r="B2" s="591" t="s">
        <v>256</v>
      </c>
      <c r="C2" s="592" t="s">
        <v>257</v>
      </c>
    </row>
    <row r="3" spans="1:7" ht="64.2" customHeight="1" thickTop="1" thickBot="1" x14ac:dyDescent="0.35">
      <c r="A3" s="590"/>
      <c r="B3" s="591"/>
      <c r="C3" s="592"/>
    </row>
    <row r="4" spans="1:7" ht="61.5" customHeight="1" thickTop="1" thickBot="1" x14ac:dyDescent="0.35">
      <c r="A4" s="590"/>
      <c r="B4" s="591" t="s">
        <v>258</v>
      </c>
      <c r="C4" s="592" t="s">
        <v>259</v>
      </c>
    </row>
    <row r="5" spans="1:7" ht="31.95" customHeight="1" thickTop="1" thickBot="1" x14ac:dyDescent="0.35">
      <c r="A5" s="590"/>
      <c r="B5" s="591"/>
      <c r="C5" s="592"/>
    </row>
    <row r="6" spans="1:7" ht="51" customHeight="1" thickTop="1" thickBot="1" x14ac:dyDescent="0.35">
      <c r="A6" s="590"/>
      <c r="B6" s="593" t="s">
        <v>260</v>
      </c>
      <c r="C6" s="591" t="s">
        <v>261</v>
      </c>
    </row>
    <row r="7" spans="1:7" ht="22.2" customHeight="1" thickTop="1" thickBot="1" x14ac:dyDescent="0.35">
      <c r="A7" s="590"/>
      <c r="B7" s="593"/>
      <c r="C7" s="591"/>
    </row>
    <row r="8" spans="1:7" ht="105" customHeight="1" thickTop="1" thickBot="1" x14ac:dyDescent="0.35">
      <c r="A8" s="590"/>
      <c r="B8" s="591" t="s">
        <v>262</v>
      </c>
      <c r="C8" s="121" t="s">
        <v>263</v>
      </c>
    </row>
    <row r="9" spans="1:7" ht="78" customHeight="1" thickTop="1" thickBot="1" x14ac:dyDescent="0.35">
      <c r="A9" s="590"/>
      <c r="B9" s="591"/>
      <c r="C9" s="122" t="s">
        <v>264</v>
      </c>
      <c r="G9" s="1"/>
    </row>
    <row r="10" spans="1:7" ht="45.75" customHeight="1" thickTop="1" thickBot="1" x14ac:dyDescent="0.35">
      <c r="A10" s="590"/>
      <c r="B10" s="591" t="s">
        <v>265</v>
      </c>
      <c r="C10" s="592" t="s">
        <v>266</v>
      </c>
    </row>
    <row r="11" spans="1:7" ht="51.6" customHeight="1" thickTop="1" thickBot="1" x14ac:dyDescent="0.35">
      <c r="A11" s="590"/>
      <c r="B11" s="591"/>
      <c r="C11" s="592"/>
    </row>
    <row r="12" spans="1:7" hidden="1" x14ac:dyDescent="0.3">
      <c r="A12" s="33"/>
      <c r="B12" s="34"/>
      <c r="C12" s="34"/>
    </row>
    <row r="13" spans="1:7" hidden="1" x14ac:dyDescent="0.3">
      <c r="A13" s="33"/>
      <c r="B13" s="34"/>
      <c r="C13" s="34"/>
    </row>
    <row r="14" spans="1:7" hidden="1" x14ac:dyDescent="0.3">
      <c r="A14" s="33"/>
      <c r="B14" s="34"/>
      <c r="C14" s="34"/>
    </row>
    <row r="15" spans="1:7" hidden="1" x14ac:dyDescent="0.3">
      <c r="A15" s="33"/>
      <c r="B15" s="34"/>
      <c r="C15" s="34"/>
    </row>
    <row r="16" spans="1:7" hidden="1" x14ac:dyDescent="0.3">
      <c r="A16" s="33"/>
      <c r="B16" s="34"/>
      <c r="C16" s="34"/>
    </row>
    <row r="17" spans="1:3" ht="15" hidden="1" thickBot="1" x14ac:dyDescent="0.35">
      <c r="A17" s="33"/>
      <c r="B17" s="35"/>
      <c r="C17" s="35"/>
    </row>
    <row r="18" spans="1:3" ht="15" thickTop="1" x14ac:dyDescent="0.3">
      <c r="A18" s="33"/>
      <c r="B18" s="36"/>
      <c r="C18" s="36"/>
    </row>
    <row r="19" spans="1:3" x14ac:dyDescent="0.3">
      <c r="A19" s="33"/>
      <c r="B19" s="36"/>
      <c r="C19" s="36"/>
    </row>
    <row r="20" spans="1:3" x14ac:dyDescent="0.3">
      <c r="A20" s="33"/>
      <c r="B20" s="36"/>
      <c r="C20" s="36"/>
    </row>
    <row r="21" spans="1:3" x14ac:dyDescent="0.3">
      <c r="A21" s="33"/>
      <c r="B21" s="36"/>
      <c r="C21" s="36"/>
    </row>
    <row r="22" spans="1:3" x14ac:dyDescent="0.3">
      <c r="A22" s="33"/>
      <c r="B22" s="36"/>
      <c r="C22" s="36"/>
    </row>
    <row r="23" spans="1:3" x14ac:dyDescent="0.3">
      <c r="A23" s="33"/>
      <c r="B23" s="36"/>
      <c r="C23" s="36"/>
    </row>
    <row r="24" spans="1:3" x14ac:dyDescent="0.3">
      <c r="A24" s="33"/>
      <c r="B24" s="36"/>
      <c r="C24" s="36"/>
    </row>
    <row r="25" spans="1:3" x14ac:dyDescent="0.3">
      <c r="A25" s="33"/>
      <c r="B25" s="36"/>
      <c r="C25" s="36"/>
    </row>
    <row r="26" spans="1:3" x14ac:dyDescent="0.3">
      <c r="A26" s="33"/>
      <c r="B26" s="36"/>
      <c r="C26" s="36"/>
    </row>
    <row r="27" spans="1:3" x14ac:dyDescent="0.3">
      <c r="A27" s="33"/>
      <c r="B27" s="36"/>
      <c r="C27" s="36"/>
    </row>
    <row r="28" spans="1:3" x14ac:dyDescent="0.3">
      <c r="A28" s="33"/>
      <c r="B28" s="36"/>
      <c r="C28" s="36"/>
    </row>
    <row r="29" spans="1:3" x14ac:dyDescent="0.3">
      <c r="A29" s="33"/>
      <c r="B29" s="36"/>
      <c r="C29" s="36"/>
    </row>
    <row r="30" spans="1:3" x14ac:dyDescent="0.3">
      <c r="A30" s="33"/>
      <c r="B30" s="36"/>
      <c r="C30" s="36"/>
    </row>
    <row r="31" spans="1:3" x14ac:dyDescent="0.3">
      <c r="A31" s="33"/>
      <c r="B31" s="36"/>
      <c r="C31" s="36"/>
    </row>
    <row r="32" spans="1:3" x14ac:dyDescent="0.3">
      <c r="A32" s="33"/>
      <c r="B32" s="36"/>
      <c r="C32" s="36"/>
    </row>
    <row r="33" spans="1:3" x14ac:dyDescent="0.3">
      <c r="A33" s="33"/>
      <c r="B33" s="36"/>
      <c r="C33" s="36"/>
    </row>
    <row r="34" spans="1:3" x14ac:dyDescent="0.3">
      <c r="A34" s="33"/>
      <c r="B34" s="36"/>
      <c r="C34" s="36"/>
    </row>
    <row r="53" spans="18:18" x14ac:dyDescent="0.3">
      <c r="R53" s="3"/>
    </row>
  </sheetData>
  <mergeCells count="10">
    <mergeCell ref="A1:A11"/>
    <mergeCell ref="B2:B3"/>
    <mergeCell ref="C2:C3"/>
    <mergeCell ref="B4:B5"/>
    <mergeCell ref="C4:C5"/>
    <mergeCell ref="B6:B7"/>
    <mergeCell ref="C6:C7"/>
    <mergeCell ref="B8:B9"/>
    <mergeCell ref="B10:B11"/>
    <mergeCell ref="C10:C11"/>
  </mergeCells>
  <pageMargins left="0.70866141732283472" right="0.70866141732283472" top="0.74803149606299213" bottom="0.74803149606299213" header="0.31496062992125984" footer="0.31496062992125984"/>
  <pageSetup paperSize="9" scale="86" orientation="portrait" r:id="rId1"/>
  <headerFooter>
    <oddFooter>&amp;L2019/20 SDBIP&amp;COPERATIONAL STRATEGIES&amp;RPage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145"/>
  <sheetViews>
    <sheetView view="pageBreakPreview" zoomScale="60" zoomScaleNormal="100" workbookViewId="0">
      <selection activeCell="P32" sqref="P32"/>
    </sheetView>
  </sheetViews>
  <sheetFormatPr defaultColWidth="9.109375" defaultRowHeight="10.199999999999999" x14ac:dyDescent="0.2"/>
  <cols>
    <col min="1" max="1" width="30.6640625" style="46" customWidth="1"/>
    <col min="2" max="2" width="3" style="266" customWidth="1"/>
    <col min="3" max="11" width="9.33203125" style="46" customWidth="1"/>
    <col min="12" max="23" width="9.109375" style="46" hidden="1" customWidth="1"/>
    <col min="24" max="16384" width="9.109375" style="46"/>
  </cols>
  <sheetData>
    <row r="1" spans="1:23" s="186" customFormat="1" ht="13.8" x14ac:dyDescent="0.3">
      <c r="A1" s="185" t="e">
        <f>muni&amp;" - "&amp;Approve2&amp;"A"</f>
        <v>#REF!</v>
      </c>
      <c r="B1" s="185"/>
      <c r="C1" s="185"/>
      <c r="D1" s="185"/>
      <c r="E1" s="185"/>
      <c r="F1" s="185"/>
      <c r="G1" s="185"/>
      <c r="H1" s="185"/>
      <c r="I1" s="185"/>
      <c r="J1" s="185"/>
      <c r="K1" s="185"/>
    </row>
    <row r="2" spans="1:23" ht="28.5" customHeight="1" x14ac:dyDescent="0.25">
      <c r="A2" s="187">
        <f>Vdesc</f>
        <v>0</v>
      </c>
      <c r="B2" s="188">
        <f>head27</f>
        <v>0</v>
      </c>
      <c r="C2" s="189" t="str">
        <f>head1b</f>
        <v>2015/16</v>
      </c>
      <c r="D2" s="189" t="str">
        <f>head1A</f>
        <v>2016/17</v>
      </c>
      <c r="E2" s="190" t="str">
        <f>Head1</f>
        <v>2017/18</v>
      </c>
      <c r="F2" s="594">
        <f>Head2</f>
        <v>0</v>
      </c>
      <c r="G2" s="595"/>
      <c r="H2" s="595"/>
      <c r="I2" s="596" t="str">
        <f>Head3</f>
        <v>2019/20 Medium Term Revenue &amp; Expenditure Framework</v>
      </c>
      <c r="J2" s="597"/>
      <c r="K2" s="598"/>
      <c r="L2" s="599" t="str">
        <f>Head4</f>
        <v>LTFS</v>
      </c>
      <c r="M2" s="600"/>
      <c r="N2" s="600"/>
      <c r="O2" s="600"/>
      <c r="P2" s="600"/>
      <c r="Q2" s="600"/>
      <c r="R2" s="600"/>
      <c r="S2" s="600"/>
      <c r="T2" s="600"/>
      <c r="U2" s="600"/>
      <c r="V2" s="600"/>
      <c r="W2" s="601"/>
    </row>
    <row r="3" spans="1:23" ht="20.399999999999999" x14ac:dyDescent="0.2">
      <c r="A3" s="191" t="s">
        <v>515</v>
      </c>
      <c r="B3" s="192"/>
      <c r="C3" s="193" t="str">
        <f>Head5</f>
        <v>Audited Outcome</v>
      </c>
      <c r="D3" s="193" t="str">
        <f>Head5</f>
        <v>Audited Outcome</v>
      </c>
      <c r="E3" s="194" t="str">
        <f>Head5</f>
        <v>Audited Outcome</v>
      </c>
      <c r="F3" s="195">
        <f>Head6</f>
        <v>0</v>
      </c>
      <c r="G3" s="193">
        <f>Head7</f>
        <v>0</v>
      </c>
      <c r="H3" s="194" t="str">
        <f>Head8</f>
        <v>Full Year Forecast</v>
      </c>
      <c r="I3" s="195">
        <f>Head9</f>
        <v>0</v>
      </c>
      <c r="J3" s="193">
        <f>Head10</f>
        <v>0</v>
      </c>
      <c r="K3" s="194">
        <f>Head11</f>
        <v>0</v>
      </c>
      <c r="L3" s="196" t="str">
        <f>Head12</f>
        <v>Forecast 2022/23</v>
      </c>
      <c r="M3" s="197" t="str">
        <f>Head13</f>
        <v>Forecast 2023/24</v>
      </c>
      <c r="N3" s="197" t="str">
        <f>Head14</f>
        <v>Forecast 2024/25</v>
      </c>
      <c r="O3" s="197" t="str">
        <f>Head15</f>
        <v>Forecast 2025/26</v>
      </c>
      <c r="P3" s="197" t="str">
        <f>Head16</f>
        <v>Forecast 2026/27</v>
      </c>
      <c r="Q3" s="197" t="str">
        <f>Head17</f>
        <v>Forecast 2027/28</v>
      </c>
      <c r="R3" s="197" t="str">
        <f>Head18</f>
        <v>Forecast 2028/29</v>
      </c>
      <c r="S3" s="197" t="str">
        <f>Head19</f>
        <v>Forecast 2029/30</v>
      </c>
      <c r="T3" s="197" t="str">
        <f>Head20</f>
        <v>Forecast 2030/31</v>
      </c>
      <c r="U3" s="197" t="str">
        <f>Head21</f>
        <v>Forecast 2031/32</v>
      </c>
      <c r="V3" s="197" t="str">
        <f>Head22</f>
        <v>Forecast 2032/33</v>
      </c>
      <c r="W3" s="197" t="str">
        <f>Head23</f>
        <v>Forecast 2033/34</v>
      </c>
    </row>
    <row r="4" spans="1:23" ht="11.25" customHeight="1" x14ac:dyDescent="0.2">
      <c r="A4" s="198" t="s">
        <v>389</v>
      </c>
      <c r="B4" s="199">
        <v>1</v>
      </c>
      <c r="C4" s="50"/>
      <c r="D4" s="50"/>
      <c r="E4" s="200"/>
      <c r="F4" s="201"/>
      <c r="G4" s="50"/>
      <c r="H4" s="202"/>
      <c r="I4" s="86"/>
      <c r="J4" s="50"/>
      <c r="K4" s="200"/>
      <c r="L4" s="203"/>
      <c r="M4" s="82"/>
      <c r="N4" s="82"/>
      <c r="O4" s="82"/>
      <c r="P4" s="82"/>
      <c r="Q4" s="82"/>
      <c r="R4" s="82"/>
      <c r="S4" s="82"/>
      <c r="T4" s="82"/>
      <c r="U4" s="82"/>
      <c r="V4" s="82"/>
      <c r="W4" s="82"/>
    </row>
    <row r="5" spans="1:23" ht="15" customHeight="1" x14ac:dyDescent="0.2">
      <c r="A5" s="204" t="str">
        <f>'[2]Org structure'!A2</f>
        <v>Vote 1 - Executive &amp; Council</v>
      </c>
      <c r="B5" s="205"/>
      <c r="C5" s="52">
        <f t="shared" ref="C5:K5" si="0">SUM(C6:C7)</f>
        <v>0</v>
      </c>
      <c r="D5" s="52">
        <f t="shared" si="0"/>
        <v>0</v>
      </c>
      <c r="E5" s="206">
        <f t="shared" si="0"/>
        <v>0</v>
      </c>
      <c r="F5" s="207">
        <f t="shared" si="0"/>
        <v>0</v>
      </c>
      <c r="G5" s="52">
        <f t="shared" si="0"/>
        <v>0</v>
      </c>
      <c r="H5" s="208">
        <f t="shared" si="0"/>
        <v>0</v>
      </c>
      <c r="I5" s="51">
        <f t="shared" si="0"/>
        <v>0</v>
      </c>
      <c r="J5" s="52">
        <f t="shared" si="0"/>
        <v>0</v>
      </c>
      <c r="K5" s="206">
        <f t="shared" si="0"/>
        <v>0</v>
      </c>
      <c r="L5" s="203"/>
      <c r="M5" s="82"/>
      <c r="N5" s="82"/>
      <c r="O5" s="82"/>
      <c r="P5" s="82"/>
      <c r="Q5" s="82"/>
      <c r="R5" s="82"/>
      <c r="S5" s="82"/>
      <c r="T5" s="82"/>
      <c r="U5" s="82"/>
      <c r="V5" s="82"/>
      <c r="W5" s="82"/>
    </row>
    <row r="6" spans="1:23" ht="11.25" customHeight="1" x14ac:dyDescent="0.2">
      <c r="A6" s="209" t="str">
        <f>'[2]Org structure'!E3</f>
        <v>1,1 - Mayor and Council</v>
      </c>
      <c r="B6" s="210"/>
      <c r="C6" s="211"/>
      <c r="D6" s="211"/>
      <c r="E6" s="212"/>
      <c r="F6" s="88"/>
      <c r="G6" s="211"/>
      <c r="H6" s="87"/>
      <c r="I6" s="213"/>
      <c r="J6" s="211"/>
      <c r="K6" s="212"/>
      <c r="L6" s="203"/>
      <c r="M6" s="82"/>
      <c r="N6" s="82"/>
      <c r="O6" s="82"/>
      <c r="P6" s="82"/>
      <c r="Q6" s="82"/>
      <c r="R6" s="82"/>
      <c r="S6" s="82"/>
      <c r="T6" s="82"/>
      <c r="U6" s="82"/>
      <c r="V6" s="82"/>
      <c r="W6" s="82"/>
    </row>
    <row r="7" spans="1:23" ht="11.25" customHeight="1" x14ac:dyDescent="0.2">
      <c r="A7" s="209" t="str">
        <f>'[2]Org structure'!E4</f>
        <v>1,2 - Municipal Manager</v>
      </c>
      <c r="B7" s="210"/>
      <c r="C7" s="211"/>
      <c r="D7" s="211"/>
      <c r="E7" s="212"/>
      <c r="F7" s="88"/>
      <c r="G7" s="211"/>
      <c r="H7" s="87"/>
      <c r="I7" s="213"/>
      <c r="J7" s="211"/>
      <c r="K7" s="212"/>
      <c r="L7" s="203"/>
      <c r="M7" s="82"/>
      <c r="N7" s="82"/>
      <c r="O7" s="82"/>
      <c r="P7" s="82"/>
      <c r="Q7" s="82"/>
      <c r="R7" s="82"/>
      <c r="S7" s="82"/>
      <c r="T7" s="82"/>
      <c r="U7" s="82"/>
      <c r="V7" s="82"/>
      <c r="W7" s="82"/>
    </row>
    <row r="8" spans="1:23" ht="15" customHeight="1" x14ac:dyDescent="0.2">
      <c r="A8" s="204" t="str">
        <f>'[2]Org structure'!A3</f>
        <v>Vote 2 - Finance and Administration</v>
      </c>
      <c r="B8" s="205"/>
      <c r="C8" s="52">
        <f>SUM(C9:C18)</f>
        <v>326083235</v>
      </c>
      <c r="D8" s="52">
        <f t="shared" ref="D8:K8" si="1">SUM(D9:D18)</f>
        <v>294548468.89999998</v>
      </c>
      <c r="E8" s="206">
        <f t="shared" si="1"/>
        <v>316672284</v>
      </c>
      <c r="F8" s="207">
        <f t="shared" si="1"/>
        <v>366195306.97000003</v>
      </c>
      <c r="G8" s="52">
        <f t="shared" si="1"/>
        <v>401589520.97000003</v>
      </c>
      <c r="H8" s="208">
        <f t="shared" si="1"/>
        <v>401589520.97000003</v>
      </c>
      <c r="I8" s="51">
        <f t="shared" si="1"/>
        <v>395389361</v>
      </c>
      <c r="J8" s="52">
        <f t="shared" si="1"/>
        <v>420077858</v>
      </c>
      <c r="K8" s="206">
        <f t="shared" si="1"/>
        <v>449627111</v>
      </c>
      <c r="L8" s="203"/>
      <c r="M8" s="82"/>
      <c r="N8" s="82"/>
      <c r="O8" s="82"/>
      <c r="P8" s="82"/>
      <c r="Q8" s="82"/>
      <c r="R8" s="82"/>
      <c r="S8" s="82"/>
      <c r="T8" s="82"/>
      <c r="U8" s="82"/>
      <c r="V8" s="82"/>
      <c r="W8" s="82"/>
    </row>
    <row r="9" spans="1:23" ht="11.25" customHeight="1" x14ac:dyDescent="0.2">
      <c r="A9" s="209" t="str">
        <f>'[2]Org structure'!E14</f>
        <v>2,1 - Administrative and Corporate Support</v>
      </c>
      <c r="B9" s="210"/>
      <c r="C9" s="211"/>
      <c r="D9" s="211"/>
      <c r="E9" s="212"/>
      <c r="F9" s="88"/>
      <c r="G9" s="211"/>
      <c r="H9" s="87"/>
      <c r="I9" s="213"/>
      <c r="J9" s="211"/>
      <c r="K9" s="212"/>
      <c r="L9" s="203"/>
      <c r="M9" s="82"/>
      <c r="N9" s="82"/>
      <c r="O9" s="82"/>
      <c r="P9" s="82"/>
      <c r="Q9" s="82"/>
      <c r="R9" s="82"/>
      <c r="S9" s="82"/>
      <c r="T9" s="82"/>
      <c r="U9" s="82"/>
      <c r="V9" s="82"/>
      <c r="W9" s="82"/>
    </row>
    <row r="10" spans="1:23" ht="11.25" customHeight="1" x14ac:dyDescent="0.2">
      <c r="A10" s="209" t="str">
        <f>'[2]Org structure'!E15</f>
        <v>2,2 - Asset Management</v>
      </c>
      <c r="B10" s="210"/>
      <c r="C10" s="211"/>
      <c r="D10" s="211"/>
      <c r="E10" s="212"/>
      <c r="F10" s="88"/>
      <c r="G10" s="211"/>
      <c r="H10" s="87"/>
      <c r="I10" s="213"/>
      <c r="J10" s="211"/>
      <c r="K10" s="212"/>
      <c r="L10" s="203"/>
      <c r="M10" s="82"/>
      <c r="N10" s="82"/>
      <c r="O10" s="82"/>
      <c r="P10" s="82"/>
      <c r="Q10" s="82"/>
      <c r="R10" s="82"/>
      <c r="S10" s="82"/>
      <c r="T10" s="82"/>
      <c r="U10" s="82"/>
      <c r="V10" s="82"/>
      <c r="W10" s="82"/>
    </row>
    <row r="11" spans="1:23" ht="11.25" customHeight="1" x14ac:dyDescent="0.2">
      <c r="A11" s="209" t="str">
        <f>'[2]Org structure'!E16</f>
        <v>2,3 - Budget and Treasury Office</v>
      </c>
      <c r="B11" s="210"/>
      <c r="C11" s="78">
        <v>326083235</v>
      </c>
      <c r="D11" s="78">
        <v>294548468.89999998</v>
      </c>
      <c r="E11" s="214">
        <v>316672284</v>
      </c>
      <c r="F11" s="61">
        <v>366195306.97000003</v>
      </c>
      <c r="G11" s="78">
        <f>381589520.97+20000000</f>
        <v>401589520.97000003</v>
      </c>
      <c r="H11" s="78">
        <f>381589520.97+20000000</f>
        <v>401589520.97000003</v>
      </c>
      <c r="I11" s="61">
        <v>395389361</v>
      </c>
      <c r="J11" s="78">
        <v>420077858</v>
      </c>
      <c r="K11" s="214">
        <v>449627111</v>
      </c>
      <c r="L11" s="203"/>
      <c r="M11" s="82"/>
      <c r="N11" s="82"/>
      <c r="O11" s="82"/>
      <c r="P11" s="82"/>
      <c r="Q11" s="82"/>
      <c r="R11" s="82"/>
      <c r="S11" s="82"/>
      <c r="T11" s="82"/>
      <c r="U11" s="82"/>
      <c r="V11" s="82"/>
      <c r="W11" s="82"/>
    </row>
    <row r="12" spans="1:23" ht="11.25" customHeight="1" x14ac:dyDescent="0.2">
      <c r="A12" s="209" t="str">
        <f>'[2]Org structure'!E17</f>
        <v>2,4 - Human Resource</v>
      </c>
      <c r="B12" s="210"/>
      <c r="C12" s="211"/>
      <c r="D12" s="211"/>
      <c r="E12" s="212"/>
      <c r="F12" s="88"/>
      <c r="G12" s="211"/>
      <c r="H12" s="87"/>
      <c r="I12" s="213"/>
      <c r="J12" s="211"/>
      <c r="K12" s="212"/>
      <c r="L12" s="203"/>
      <c r="M12" s="82"/>
      <c r="N12" s="82"/>
      <c r="O12" s="82"/>
      <c r="P12" s="82"/>
      <c r="Q12" s="82"/>
      <c r="R12" s="82"/>
      <c r="S12" s="82"/>
      <c r="T12" s="82"/>
      <c r="U12" s="82"/>
      <c r="V12" s="82"/>
      <c r="W12" s="82"/>
    </row>
    <row r="13" spans="1:23" ht="11.25" customHeight="1" x14ac:dyDescent="0.2">
      <c r="A13" s="209" t="str">
        <f>'[2]Org structure'!E18</f>
        <v>2,5 - Information Technology</v>
      </c>
      <c r="B13" s="210"/>
      <c r="C13" s="211"/>
      <c r="D13" s="211"/>
      <c r="E13" s="212"/>
      <c r="F13" s="88"/>
      <c r="G13" s="211"/>
      <c r="H13" s="87"/>
      <c r="I13" s="213"/>
      <c r="J13" s="211"/>
      <c r="K13" s="212"/>
      <c r="L13" s="203"/>
      <c r="M13" s="82"/>
      <c r="N13" s="82"/>
      <c r="O13" s="82"/>
      <c r="P13" s="82"/>
      <c r="Q13" s="82"/>
      <c r="R13" s="82"/>
      <c r="S13" s="82"/>
      <c r="T13" s="82"/>
      <c r="U13" s="82"/>
      <c r="V13" s="82"/>
      <c r="W13" s="82"/>
    </row>
    <row r="14" spans="1:23" ht="11.25" customHeight="1" x14ac:dyDescent="0.2">
      <c r="A14" s="209" t="str">
        <f>'[2]Org structure'!E19</f>
        <v>2,6 - Legal Services</v>
      </c>
      <c r="B14" s="210"/>
      <c r="C14" s="211"/>
      <c r="D14" s="211"/>
      <c r="E14" s="212"/>
      <c r="F14" s="88"/>
      <c r="G14" s="211"/>
      <c r="H14" s="87"/>
      <c r="I14" s="213"/>
      <c r="J14" s="211"/>
      <c r="K14" s="212"/>
      <c r="L14" s="203"/>
      <c r="M14" s="82"/>
      <c r="N14" s="82"/>
      <c r="O14" s="82"/>
      <c r="P14" s="82"/>
      <c r="Q14" s="82"/>
      <c r="R14" s="82"/>
      <c r="S14" s="82"/>
      <c r="T14" s="82"/>
      <c r="U14" s="82"/>
      <c r="V14" s="82"/>
      <c r="W14" s="82"/>
    </row>
    <row r="15" spans="1:23" ht="11.25" customHeight="1" x14ac:dyDescent="0.2">
      <c r="A15" s="209" t="str">
        <f>'[2]Org structure'!E20</f>
        <v>2,7 - Customer Relation and Coordination</v>
      </c>
      <c r="B15" s="210"/>
      <c r="C15" s="211"/>
      <c r="D15" s="211"/>
      <c r="E15" s="212"/>
      <c r="F15" s="88"/>
      <c r="G15" s="211"/>
      <c r="H15" s="87"/>
      <c r="I15" s="213"/>
      <c r="J15" s="211"/>
      <c r="K15" s="212"/>
      <c r="L15" s="203"/>
      <c r="M15" s="82"/>
      <c r="N15" s="82"/>
      <c r="O15" s="82"/>
      <c r="P15" s="82"/>
      <c r="Q15" s="82"/>
      <c r="R15" s="82"/>
      <c r="S15" s="82"/>
      <c r="T15" s="82"/>
      <c r="U15" s="82"/>
      <c r="V15" s="82"/>
      <c r="W15" s="82"/>
    </row>
    <row r="16" spans="1:23" ht="11.25" customHeight="1" x14ac:dyDescent="0.2">
      <c r="A16" s="209" t="str">
        <f>'[2]Org structure'!E21</f>
        <v>2,8 - Property Services</v>
      </c>
      <c r="B16" s="210"/>
      <c r="C16" s="211"/>
      <c r="D16" s="211"/>
      <c r="E16" s="212"/>
      <c r="F16" s="88"/>
      <c r="G16" s="211"/>
      <c r="H16" s="87"/>
      <c r="I16" s="213"/>
      <c r="J16" s="211"/>
      <c r="K16" s="212"/>
      <c r="L16" s="203"/>
      <c r="M16" s="82"/>
      <c r="N16" s="82"/>
      <c r="O16" s="82"/>
      <c r="P16" s="82"/>
      <c r="Q16" s="82"/>
      <c r="R16" s="82"/>
      <c r="S16" s="82"/>
      <c r="T16" s="82"/>
      <c r="U16" s="82"/>
      <c r="V16" s="82"/>
      <c r="W16" s="82"/>
    </row>
    <row r="17" spans="1:23" ht="11.25" customHeight="1" x14ac:dyDescent="0.2">
      <c r="A17" s="209" t="str">
        <f>'[2]Org structure'!E22</f>
        <v>2,9 - Risk Management</v>
      </c>
      <c r="B17" s="210"/>
      <c r="C17" s="211"/>
      <c r="D17" s="211"/>
      <c r="E17" s="212"/>
      <c r="F17" s="88"/>
      <c r="G17" s="211"/>
      <c r="H17" s="87"/>
      <c r="I17" s="213"/>
      <c r="J17" s="211"/>
      <c r="K17" s="212"/>
      <c r="L17" s="203"/>
      <c r="M17" s="82"/>
      <c r="N17" s="82"/>
      <c r="O17" s="82"/>
      <c r="P17" s="82"/>
      <c r="Q17" s="82"/>
      <c r="R17" s="82"/>
      <c r="S17" s="82"/>
      <c r="T17" s="82"/>
      <c r="U17" s="82"/>
      <c r="V17" s="82"/>
      <c r="W17" s="82"/>
    </row>
    <row r="18" spans="1:23" ht="11.25" customHeight="1" x14ac:dyDescent="0.2">
      <c r="A18" s="209" t="str">
        <f>'[2]Org structure'!E23</f>
        <v>2.10 - Supply Chain Management</v>
      </c>
      <c r="B18" s="210"/>
      <c r="C18" s="211"/>
      <c r="D18" s="211"/>
      <c r="E18" s="212"/>
      <c r="F18" s="88"/>
      <c r="G18" s="211"/>
      <c r="H18" s="87"/>
      <c r="I18" s="213"/>
      <c r="J18" s="211"/>
      <c r="K18" s="212"/>
      <c r="L18" s="203"/>
      <c r="M18" s="82"/>
      <c r="N18" s="82"/>
      <c r="O18" s="82"/>
      <c r="P18" s="82"/>
      <c r="Q18" s="82"/>
      <c r="R18" s="82"/>
      <c r="S18" s="82"/>
      <c r="T18" s="82"/>
      <c r="U18" s="82"/>
      <c r="V18" s="82"/>
      <c r="W18" s="82"/>
    </row>
    <row r="19" spans="1:23" ht="15" customHeight="1" x14ac:dyDescent="0.2">
      <c r="A19" s="204" t="str">
        <f>'[2]Org structure'!A4</f>
        <v>Vote 3 - Internal Audit</v>
      </c>
      <c r="B19" s="205"/>
      <c r="C19" s="52">
        <f t="shared" ref="C19:K19" si="2">SUM(C20:C20)</f>
        <v>0</v>
      </c>
      <c r="D19" s="52">
        <f t="shared" si="2"/>
        <v>0</v>
      </c>
      <c r="E19" s="206">
        <f t="shared" si="2"/>
        <v>0</v>
      </c>
      <c r="F19" s="207">
        <f t="shared" si="2"/>
        <v>0</v>
      </c>
      <c r="G19" s="52">
        <f t="shared" si="2"/>
        <v>0</v>
      </c>
      <c r="H19" s="208">
        <f t="shared" si="2"/>
        <v>0</v>
      </c>
      <c r="I19" s="51">
        <f t="shared" si="2"/>
        <v>0</v>
      </c>
      <c r="J19" s="52">
        <f t="shared" si="2"/>
        <v>0</v>
      </c>
      <c r="K19" s="206">
        <f t="shared" si="2"/>
        <v>0</v>
      </c>
      <c r="L19" s="203"/>
      <c r="M19" s="82"/>
      <c r="N19" s="82"/>
      <c r="O19" s="82"/>
      <c r="P19" s="82"/>
      <c r="Q19" s="82"/>
      <c r="R19" s="82"/>
      <c r="S19" s="82"/>
      <c r="T19" s="82"/>
      <c r="U19" s="82"/>
      <c r="V19" s="82"/>
      <c r="W19" s="82"/>
    </row>
    <row r="20" spans="1:23" ht="11.25" customHeight="1" x14ac:dyDescent="0.2">
      <c r="A20" s="209" t="str">
        <f>'[2]Org structure'!E25</f>
        <v>3,1 - Governance Function</v>
      </c>
      <c r="B20" s="210"/>
      <c r="C20" s="211"/>
      <c r="D20" s="211"/>
      <c r="E20" s="212"/>
      <c r="F20" s="88"/>
      <c r="G20" s="211"/>
      <c r="H20" s="215"/>
      <c r="I20" s="213"/>
      <c r="J20" s="211"/>
      <c r="K20" s="212"/>
      <c r="L20" s="203"/>
      <c r="M20" s="82"/>
      <c r="N20" s="82"/>
      <c r="O20" s="82"/>
      <c r="P20" s="82"/>
      <c r="Q20" s="82"/>
      <c r="R20" s="82"/>
      <c r="S20" s="82"/>
      <c r="T20" s="82"/>
      <c r="U20" s="82"/>
      <c r="V20" s="82"/>
      <c r="W20" s="82"/>
    </row>
    <row r="21" spans="1:23" ht="15" customHeight="1" x14ac:dyDescent="0.2">
      <c r="A21" s="204" t="str">
        <f>'[2]Org structure'!A5</f>
        <v>Vote 4 - Community and Public Safety</v>
      </c>
      <c r="B21" s="205"/>
      <c r="C21" s="52">
        <f t="shared" ref="C21:K21" si="3">SUM(C22:C25)</f>
        <v>0</v>
      </c>
      <c r="D21" s="52">
        <f t="shared" si="3"/>
        <v>0</v>
      </c>
      <c r="E21" s="206">
        <f t="shared" si="3"/>
        <v>0</v>
      </c>
      <c r="F21" s="207">
        <f t="shared" si="3"/>
        <v>0</v>
      </c>
      <c r="G21" s="52">
        <f t="shared" si="3"/>
        <v>0</v>
      </c>
      <c r="H21" s="208">
        <f t="shared" si="3"/>
        <v>0</v>
      </c>
      <c r="I21" s="51">
        <f t="shared" si="3"/>
        <v>0</v>
      </c>
      <c r="J21" s="52">
        <f t="shared" si="3"/>
        <v>0</v>
      </c>
      <c r="K21" s="206">
        <f t="shared" si="3"/>
        <v>0</v>
      </c>
      <c r="L21" s="203"/>
      <c r="M21" s="82"/>
      <c r="N21" s="82"/>
      <c r="O21" s="82"/>
      <c r="P21" s="82"/>
      <c r="Q21" s="82"/>
      <c r="R21" s="82"/>
      <c r="S21" s="82"/>
      <c r="T21" s="82"/>
      <c r="U21" s="82"/>
      <c r="V21" s="82"/>
      <c r="W21" s="82"/>
    </row>
    <row r="22" spans="1:23" ht="11.25" customHeight="1" x14ac:dyDescent="0.2">
      <c r="A22" s="209" t="str">
        <f>'[2]Org structure'!E36</f>
        <v>4,1 - Cemetries and crematoriums</v>
      </c>
      <c r="B22" s="210"/>
      <c r="C22" s="211"/>
      <c r="D22" s="211"/>
      <c r="E22" s="212"/>
      <c r="F22" s="88"/>
      <c r="G22" s="211"/>
      <c r="H22" s="87"/>
      <c r="I22" s="213"/>
      <c r="J22" s="211"/>
      <c r="K22" s="212"/>
      <c r="L22" s="203"/>
      <c r="M22" s="82"/>
      <c r="N22" s="82"/>
      <c r="O22" s="82"/>
      <c r="P22" s="82"/>
      <c r="Q22" s="82"/>
      <c r="R22" s="82"/>
      <c r="S22" s="82"/>
      <c r="T22" s="82"/>
      <c r="U22" s="82"/>
      <c r="V22" s="82"/>
      <c r="W22" s="82"/>
    </row>
    <row r="23" spans="1:23" ht="11.25" customHeight="1" x14ac:dyDescent="0.2">
      <c r="A23" s="209" t="str">
        <f>'[2]Org structure'!E37</f>
        <v>4,2 - Community halls and Facilities</v>
      </c>
      <c r="B23" s="210"/>
      <c r="C23" s="211"/>
      <c r="D23" s="211"/>
      <c r="E23" s="212"/>
      <c r="F23" s="88"/>
      <c r="G23" s="211"/>
      <c r="H23" s="87"/>
      <c r="I23" s="213"/>
      <c r="J23" s="211"/>
      <c r="K23" s="212"/>
      <c r="L23" s="203"/>
      <c r="M23" s="82"/>
      <c r="N23" s="82"/>
      <c r="O23" s="82"/>
      <c r="P23" s="82"/>
      <c r="Q23" s="82"/>
      <c r="R23" s="82"/>
      <c r="S23" s="82"/>
      <c r="T23" s="82"/>
      <c r="U23" s="82"/>
      <c r="V23" s="82"/>
      <c r="W23" s="82"/>
    </row>
    <row r="24" spans="1:23" ht="11.25" customHeight="1" x14ac:dyDescent="0.2">
      <c r="A24" s="209" t="str">
        <f>'[2]Org structure'!E38</f>
        <v>4,3 - Disaster Management</v>
      </c>
      <c r="B24" s="210"/>
      <c r="C24" s="211"/>
      <c r="D24" s="211"/>
      <c r="E24" s="212"/>
      <c r="F24" s="88"/>
      <c r="G24" s="211"/>
      <c r="H24" s="87"/>
      <c r="I24" s="213"/>
      <c r="J24" s="211"/>
      <c r="K24" s="212"/>
      <c r="L24" s="203"/>
      <c r="M24" s="82"/>
      <c r="N24" s="82"/>
      <c r="O24" s="82"/>
      <c r="P24" s="82"/>
      <c r="Q24" s="82"/>
      <c r="R24" s="82"/>
      <c r="S24" s="82"/>
      <c r="T24" s="82"/>
      <c r="U24" s="82"/>
      <c r="V24" s="82"/>
      <c r="W24" s="82"/>
    </row>
    <row r="25" spans="1:23" ht="11.25" customHeight="1" x14ac:dyDescent="0.2">
      <c r="A25" s="209" t="str">
        <f>'[2]Org structure'!E39</f>
        <v>4,4 - Libraries and Archives</v>
      </c>
      <c r="B25" s="210"/>
      <c r="C25" s="211"/>
      <c r="D25" s="211"/>
      <c r="E25" s="212"/>
      <c r="F25" s="88"/>
      <c r="G25" s="211"/>
      <c r="H25" s="87"/>
      <c r="I25" s="213"/>
      <c r="J25" s="211"/>
      <c r="K25" s="212"/>
      <c r="L25" s="203"/>
      <c r="M25" s="82"/>
      <c r="N25" s="82"/>
      <c r="O25" s="82"/>
      <c r="P25" s="82"/>
      <c r="Q25" s="82"/>
      <c r="R25" s="82"/>
      <c r="S25" s="82"/>
      <c r="T25" s="82"/>
      <c r="U25" s="82"/>
      <c r="V25" s="82"/>
      <c r="W25" s="82"/>
    </row>
    <row r="26" spans="1:23" ht="15" customHeight="1" x14ac:dyDescent="0.2">
      <c r="A26" s="204" t="str">
        <f>'[2]Org structure'!A6</f>
        <v>Vote 5 - Sports and Recreation</v>
      </c>
      <c r="B26" s="205"/>
      <c r="C26" s="52">
        <f t="shared" ref="C26:K26" si="4">SUM(C27:C27)</f>
        <v>0</v>
      </c>
      <c r="D26" s="52">
        <f t="shared" si="4"/>
        <v>0</v>
      </c>
      <c r="E26" s="206">
        <f t="shared" si="4"/>
        <v>0</v>
      </c>
      <c r="F26" s="207">
        <f t="shared" si="4"/>
        <v>0</v>
      </c>
      <c r="G26" s="52">
        <f t="shared" si="4"/>
        <v>0</v>
      </c>
      <c r="H26" s="208">
        <f t="shared" si="4"/>
        <v>0</v>
      </c>
      <c r="I26" s="51">
        <f t="shared" si="4"/>
        <v>0</v>
      </c>
      <c r="J26" s="52">
        <f t="shared" si="4"/>
        <v>0</v>
      </c>
      <c r="K26" s="206">
        <f t="shared" si="4"/>
        <v>0</v>
      </c>
      <c r="L26" s="203"/>
      <c r="M26" s="82"/>
      <c r="N26" s="82"/>
      <c r="O26" s="82"/>
      <c r="P26" s="82"/>
      <c r="Q26" s="82"/>
      <c r="R26" s="82"/>
      <c r="S26" s="82"/>
      <c r="T26" s="82"/>
      <c r="U26" s="82"/>
      <c r="V26" s="82"/>
      <c r="W26" s="82"/>
    </row>
    <row r="27" spans="1:23" ht="11.25" customHeight="1" x14ac:dyDescent="0.2">
      <c r="A27" s="209" t="str">
        <f>'[2]Org structure'!E47</f>
        <v>5,1 - Community parks</v>
      </c>
      <c r="B27" s="210"/>
      <c r="C27" s="211"/>
      <c r="D27" s="211"/>
      <c r="E27" s="212"/>
      <c r="F27" s="88"/>
      <c r="G27" s="211"/>
      <c r="H27" s="87"/>
      <c r="I27" s="213"/>
      <c r="J27" s="211"/>
      <c r="K27" s="212"/>
      <c r="L27" s="203"/>
      <c r="M27" s="82"/>
      <c r="N27" s="82"/>
      <c r="O27" s="82"/>
      <c r="P27" s="82"/>
      <c r="Q27" s="82"/>
      <c r="R27" s="82"/>
      <c r="S27" s="82"/>
      <c r="T27" s="82"/>
      <c r="U27" s="82"/>
      <c r="V27" s="82"/>
      <c r="W27" s="82"/>
    </row>
    <row r="28" spans="1:23" ht="15" customHeight="1" x14ac:dyDescent="0.2">
      <c r="A28" s="204" t="str">
        <f>'[2]Org structure'!A7</f>
        <v>Vote 6 - Housing</v>
      </c>
      <c r="B28" s="205"/>
      <c r="C28" s="52">
        <f t="shared" ref="C28:K28" si="5">SUM(C29:C29)</f>
        <v>0</v>
      </c>
      <c r="D28" s="52">
        <f t="shared" si="5"/>
        <v>0</v>
      </c>
      <c r="E28" s="206">
        <f t="shared" si="5"/>
        <v>0</v>
      </c>
      <c r="F28" s="207">
        <f t="shared" si="5"/>
        <v>0</v>
      </c>
      <c r="G28" s="52">
        <f t="shared" si="5"/>
        <v>0</v>
      </c>
      <c r="H28" s="208">
        <f t="shared" si="5"/>
        <v>0</v>
      </c>
      <c r="I28" s="51">
        <f t="shared" si="5"/>
        <v>0</v>
      </c>
      <c r="J28" s="52">
        <f t="shared" si="5"/>
        <v>0</v>
      </c>
      <c r="K28" s="206">
        <f t="shared" si="5"/>
        <v>0</v>
      </c>
      <c r="L28" s="203"/>
      <c r="M28" s="82"/>
      <c r="N28" s="82"/>
      <c r="O28" s="82"/>
      <c r="P28" s="82"/>
      <c r="Q28" s="82"/>
      <c r="R28" s="82"/>
      <c r="S28" s="82"/>
      <c r="T28" s="82"/>
      <c r="U28" s="82"/>
      <c r="V28" s="82"/>
      <c r="W28" s="82"/>
    </row>
    <row r="29" spans="1:23" ht="11.25" customHeight="1" x14ac:dyDescent="0.2">
      <c r="A29" s="209" t="str">
        <f>'[2]Org structure'!E58</f>
        <v>6,1 - Housing</v>
      </c>
      <c r="B29" s="210"/>
      <c r="C29" s="211"/>
      <c r="D29" s="211"/>
      <c r="E29" s="212"/>
      <c r="F29" s="88"/>
      <c r="G29" s="211"/>
      <c r="H29" s="87"/>
      <c r="I29" s="213"/>
      <c r="J29" s="211"/>
      <c r="K29" s="212"/>
      <c r="L29" s="203"/>
      <c r="M29" s="82"/>
      <c r="N29" s="82"/>
      <c r="O29" s="82"/>
      <c r="P29" s="82"/>
      <c r="Q29" s="82"/>
      <c r="R29" s="82"/>
      <c r="S29" s="82"/>
      <c r="T29" s="82"/>
      <c r="U29" s="82"/>
      <c r="V29" s="82"/>
      <c r="W29" s="82"/>
    </row>
    <row r="30" spans="1:23" ht="15" customHeight="1" x14ac:dyDescent="0.2">
      <c r="A30" s="204" t="str">
        <f>'[2]Org structure'!A8</f>
        <v xml:space="preserve">Vote 7 - Planning and development </v>
      </c>
      <c r="B30" s="205"/>
      <c r="C30" s="52">
        <f t="shared" ref="C30:K30" si="6">SUM(C31:C33)</f>
        <v>0</v>
      </c>
      <c r="D30" s="52">
        <f t="shared" si="6"/>
        <v>0</v>
      </c>
      <c r="E30" s="206">
        <f t="shared" si="6"/>
        <v>0</v>
      </c>
      <c r="F30" s="207">
        <f t="shared" si="6"/>
        <v>0</v>
      </c>
      <c r="G30" s="52">
        <f t="shared" si="6"/>
        <v>0</v>
      </c>
      <c r="H30" s="208">
        <f t="shared" si="6"/>
        <v>0</v>
      </c>
      <c r="I30" s="51">
        <f t="shared" si="6"/>
        <v>0</v>
      </c>
      <c r="J30" s="52">
        <f t="shared" si="6"/>
        <v>0</v>
      </c>
      <c r="K30" s="206">
        <f t="shared" si="6"/>
        <v>0</v>
      </c>
      <c r="L30" s="203"/>
      <c r="M30" s="82"/>
      <c r="N30" s="82"/>
      <c r="O30" s="82"/>
      <c r="P30" s="82"/>
      <c r="Q30" s="82"/>
      <c r="R30" s="82"/>
      <c r="S30" s="82"/>
      <c r="T30" s="82"/>
      <c r="U30" s="82"/>
      <c r="V30" s="82"/>
      <c r="W30" s="82"/>
    </row>
    <row r="31" spans="1:23" ht="11.25" customHeight="1" x14ac:dyDescent="0.2">
      <c r="A31" s="209" t="str">
        <f>'[2]Org structure'!E69</f>
        <v>7,1 - Corporate Wide Strategic Planning (IDP &amp; LED)</v>
      </c>
      <c r="B31" s="210"/>
      <c r="C31" s="211"/>
      <c r="D31" s="211"/>
      <c r="E31" s="212"/>
      <c r="F31" s="88"/>
      <c r="G31" s="211"/>
      <c r="H31" s="87"/>
      <c r="I31" s="213"/>
      <c r="J31" s="211"/>
      <c r="K31" s="212"/>
      <c r="L31" s="203"/>
      <c r="M31" s="82"/>
      <c r="N31" s="82"/>
      <c r="O31" s="82"/>
      <c r="P31" s="82"/>
      <c r="Q31" s="82"/>
      <c r="R31" s="82"/>
      <c r="S31" s="82"/>
      <c r="T31" s="82"/>
      <c r="U31" s="82"/>
      <c r="V31" s="82"/>
      <c r="W31" s="82"/>
    </row>
    <row r="32" spans="1:23" ht="11.25" customHeight="1" x14ac:dyDescent="0.2">
      <c r="A32" s="209" t="str">
        <f>'[2]Org structure'!E70</f>
        <v>7,2 - Town Planning and Building Regulations</v>
      </c>
      <c r="B32" s="210"/>
      <c r="C32" s="211"/>
      <c r="D32" s="211"/>
      <c r="E32" s="212"/>
      <c r="F32" s="88"/>
      <c r="G32" s="211"/>
      <c r="H32" s="87"/>
      <c r="I32" s="213"/>
      <c r="J32" s="211"/>
      <c r="K32" s="212"/>
      <c r="L32" s="203"/>
      <c r="M32" s="82"/>
      <c r="N32" s="82"/>
      <c r="O32" s="82"/>
      <c r="P32" s="82"/>
      <c r="Q32" s="82"/>
      <c r="R32" s="82"/>
      <c r="S32" s="82"/>
      <c r="T32" s="82"/>
      <c r="U32" s="82"/>
      <c r="V32" s="82"/>
      <c r="W32" s="82"/>
    </row>
    <row r="33" spans="1:23" ht="11.25" customHeight="1" x14ac:dyDescent="0.2">
      <c r="A33" s="209" t="str">
        <f>'[2]Org structure'!E71</f>
        <v>7,3 - Project Management Unit</v>
      </c>
      <c r="B33" s="210"/>
      <c r="C33" s="211"/>
      <c r="D33" s="211"/>
      <c r="E33" s="212"/>
      <c r="F33" s="88"/>
      <c r="G33" s="211"/>
      <c r="H33" s="87"/>
      <c r="I33" s="213"/>
      <c r="J33" s="211"/>
      <c r="K33" s="212"/>
      <c r="L33" s="203"/>
      <c r="M33" s="82"/>
      <c r="N33" s="82"/>
      <c r="O33" s="82"/>
      <c r="P33" s="82"/>
      <c r="Q33" s="82"/>
      <c r="R33" s="82"/>
      <c r="S33" s="82"/>
      <c r="T33" s="82"/>
      <c r="U33" s="82"/>
      <c r="V33" s="82"/>
      <c r="W33" s="82"/>
    </row>
    <row r="34" spans="1:23" ht="15" customHeight="1" x14ac:dyDescent="0.2">
      <c r="A34" s="204" t="str">
        <f>'[2]Org structure'!A9</f>
        <v>Vote 8 - Road Transport</v>
      </c>
      <c r="B34" s="210"/>
      <c r="C34" s="52">
        <f t="shared" ref="C34:K34" si="7">SUM(C35:C37)</f>
        <v>6646951</v>
      </c>
      <c r="D34" s="52">
        <f t="shared" si="7"/>
        <v>6696371.4100000001</v>
      </c>
      <c r="E34" s="206">
        <f t="shared" si="7"/>
        <v>13679612</v>
      </c>
      <c r="F34" s="207">
        <f t="shared" si="7"/>
        <v>11461019</v>
      </c>
      <c r="G34" s="52">
        <f t="shared" si="7"/>
        <v>26061019</v>
      </c>
      <c r="H34" s="208">
        <f t="shared" si="7"/>
        <v>26061019</v>
      </c>
      <c r="I34" s="51">
        <f t="shared" si="7"/>
        <v>27416192</v>
      </c>
      <c r="J34" s="52">
        <f t="shared" si="7"/>
        <v>28896666</v>
      </c>
      <c r="K34" s="206">
        <f t="shared" si="7"/>
        <v>30457086</v>
      </c>
      <c r="L34" s="216"/>
      <c r="M34" s="217"/>
      <c r="N34" s="217"/>
      <c r="O34" s="217"/>
      <c r="P34" s="217"/>
      <c r="Q34" s="217"/>
      <c r="R34" s="217"/>
      <c r="S34" s="217"/>
      <c r="T34" s="217"/>
      <c r="U34" s="217"/>
      <c r="V34" s="217"/>
      <c r="W34" s="217"/>
    </row>
    <row r="35" spans="1:23" ht="11.25" customHeight="1" x14ac:dyDescent="0.2">
      <c r="A35" s="209" t="str">
        <f>'[2]Org structure'!E80</f>
        <v>8,1 - Road and Traffic Regulations</v>
      </c>
      <c r="B35" s="210"/>
      <c r="C35" s="78">
        <v>6646951</v>
      </c>
      <c r="D35" s="78">
        <v>6696371.4100000001</v>
      </c>
      <c r="E35" s="214">
        <v>13679612</v>
      </c>
      <c r="F35" s="61">
        <v>11461019</v>
      </c>
      <c r="G35" s="78">
        <v>26061019</v>
      </c>
      <c r="H35" s="214">
        <v>26061019</v>
      </c>
      <c r="I35" s="61">
        <v>27416192</v>
      </c>
      <c r="J35" s="78">
        <v>28896666</v>
      </c>
      <c r="K35" s="214">
        <v>30457086</v>
      </c>
      <c r="L35" s="216"/>
      <c r="M35" s="217"/>
      <c r="N35" s="217"/>
      <c r="O35" s="217"/>
      <c r="P35" s="217"/>
      <c r="Q35" s="217"/>
      <c r="R35" s="217"/>
      <c r="S35" s="217"/>
      <c r="T35" s="217"/>
      <c r="U35" s="217"/>
      <c r="V35" s="217"/>
      <c r="W35" s="217"/>
    </row>
    <row r="36" spans="1:23" ht="11.25" customHeight="1" x14ac:dyDescent="0.2">
      <c r="A36" s="209" t="str">
        <f>'[2]Org structure'!E81</f>
        <v>8,2 - Roads</v>
      </c>
      <c r="B36" s="210"/>
      <c r="C36" s="211"/>
      <c r="D36" s="211"/>
      <c r="E36" s="212"/>
      <c r="F36" s="88"/>
      <c r="G36" s="211"/>
      <c r="H36" s="87"/>
      <c r="I36" s="213"/>
      <c r="J36" s="211"/>
      <c r="K36" s="212"/>
      <c r="L36" s="216"/>
      <c r="M36" s="217"/>
      <c r="N36" s="217"/>
      <c r="O36" s="217"/>
      <c r="P36" s="217"/>
      <c r="Q36" s="217"/>
      <c r="R36" s="217"/>
      <c r="S36" s="217"/>
      <c r="T36" s="217"/>
      <c r="U36" s="217"/>
      <c r="V36" s="217"/>
      <c r="W36" s="217"/>
    </row>
    <row r="37" spans="1:23" ht="11.25" customHeight="1" x14ac:dyDescent="0.2">
      <c r="A37" s="209" t="str">
        <f>'[2]Org structure'!E82</f>
        <v>8,3 - Taxi Ranks</v>
      </c>
      <c r="B37" s="210"/>
      <c r="C37" s="211"/>
      <c r="D37" s="211"/>
      <c r="E37" s="212"/>
      <c r="F37" s="88"/>
      <c r="G37" s="211"/>
      <c r="H37" s="87"/>
      <c r="I37" s="213"/>
      <c r="J37" s="211"/>
      <c r="K37" s="212"/>
      <c r="L37" s="216"/>
      <c r="M37" s="217"/>
      <c r="N37" s="217"/>
      <c r="O37" s="217"/>
      <c r="P37" s="217"/>
      <c r="Q37" s="217"/>
      <c r="R37" s="217"/>
      <c r="S37" s="217"/>
      <c r="T37" s="217"/>
      <c r="U37" s="217"/>
      <c r="V37" s="217"/>
      <c r="W37" s="217"/>
    </row>
    <row r="38" spans="1:23" ht="15" customHeight="1" x14ac:dyDescent="0.2">
      <c r="A38" s="204" t="str">
        <f>'[2]Org structure'!A10</f>
        <v>Vote 9 - Energy Sources</v>
      </c>
      <c r="B38" s="210"/>
      <c r="C38" s="52">
        <f t="shared" ref="C38:K38" si="8">SUM(C39:C40)</f>
        <v>9346308</v>
      </c>
      <c r="D38" s="52">
        <f t="shared" si="8"/>
        <v>15358297.15</v>
      </c>
      <c r="E38" s="206">
        <f t="shared" si="8"/>
        <v>9667754</v>
      </c>
      <c r="F38" s="207">
        <f t="shared" si="8"/>
        <v>18807957.469999999</v>
      </c>
      <c r="G38" s="52">
        <f t="shared" si="8"/>
        <v>33230944.469999999</v>
      </c>
      <c r="H38" s="208">
        <f t="shared" si="8"/>
        <v>33230944.469999999</v>
      </c>
      <c r="I38" s="51">
        <f t="shared" si="8"/>
        <v>28664837</v>
      </c>
      <c r="J38" s="52">
        <f t="shared" si="8"/>
        <v>37212738</v>
      </c>
      <c r="K38" s="206">
        <f t="shared" si="8"/>
        <v>38844226</v>
      </c>
      <c r="L38" s="216"/>
      <c r="M38" s="217"/>
      <c r="N38" s="217"/>
      <c r="O38" s="217"/>
      <c r="P38" s="217"/>
      <c r="Q38" s="217"/>
      <c r="R38" s="217"/>
      <c r="S38" s="217"/>
      <c r="T38" s="217"/>
      <c r="U38" s="217"/>
      <c r="V38" s="217"/>
      <c r="W38" s="217"/>
    </row>
    <row r="39" spans="1:23" ht="11.25" customHeight="1" x14ac:dyDescent="0.2">
      <c r="A39" s="209" t="str">
        <f>'[2]Org structure'!E91</f>
        <v>9,1 - Electricity</v>
      </c>
      <c r="B39" s="210"/>
      <c r="C39" s="78">
        <v>9346308</v>
      </c>
      <c r="D39" s="78">
        <v>15358297.15</v>
      </c>
      <c r="E39" s="214">
        <v>9667754</v>
      </c>
      <c r="F39" s="61">
        <v>18807957.469999999</v>
      </c>
      <c r="G39" s="78">
        <v>33230944.469999999</v>
      </c>
      <c r="H39" s="78">
        <v>33230944.469999999</v>
      </c>
      <c r="I39" s="61">
        <v>28664837</v>
      </c>
      <c r="J39" s="78">
        <v>37212738</v>
      </c>
      <c r="K39" s="214">
        <v>38844226</v>
      </c>
      <c r="L39" s="216"/>
      <c r="M39" s="217"/>
      <c r="N39" s="217"/>
      <c r="O39" s="217"/>
      <c r="P39" s="217"/>
      <c r="Q39" s="217"/>
      <c r="R39" s="217"/>
      <c r="S39" s="217"/>
      <c r="T39" s="217"/>
      <c r="U39" s="217"/>
      <c r="V39" s="217"/>
      <c r="W39" s="217"/>
    </row>
    <row r="40" spans="1:23" ht="11.25" customHeight="1" x14ac:dyDescent="0.2">
      <c r="A40" s="209" t="str">
        <f>'[2]Org structure'!E92</f>
        <v>9,2 - Street Lighting</v>
      </c>
      <c r="B40" s="210"/>
      <c r="C40" s="211"/>
      <c r="D40" s="211"/>
      <c r="E40" s="212"/>
      <c r="F40" s="88"/>
      <c r="G40" s="211"/>
      <c r="H40" s="87"/>
      <c r="I40" s="213"/>
      <c r="J40" s="211"/>
      <c r="K40" s="212"/>
      <c r="L40" s="216"/>
      <c r="M40" s="217"/>
      <c r="N40" s="217"/>
      <c r="O40" s="217"/>
      <c r="P40" s="217"/>
      <c r="Q40" s="217"/>
      <c r="R40" s="217"/>
      <c r="S40" s="217"/>
      <c r="T40" s="217"/>
      <c r="U40" s="217"/>
      <c r="V40" s="217"/>
      <c r="W40" s="217"/>
    </row>
    <row r="41" spans="1:23" ht="15" customHeight="1" x14ac:dyDescent="0.2">
      <c r="A41" s="204" t="str">
        <f>'[2]Org structure'!A11</f>
        <v>Vote 10 - Waste Water Management</v>
      </c>
      <c r="B41" s="210"/>
      <c r="C41" s="52">
        <f t="shared" ref="C41:K41" si="9">SUM(C42:C42)</f>
        <v>0</v>
      </c>
      <c r="D41" s="52">
        <f t="shared" si="9"/>
        <v>0</v>
      </c>
      <c r="E41" s="206">
        <f t="shared" si="9"/>
        <v>0</v>
      </c>
      <c r="F41" s="207">
        <f t="shared" si="9"/>
        <v>0</v>
      </c>
      <c r="G41" s="52">
        <f t="shared" si="9"/>
        <v>0</v>
      </c>
      <c r="H41" s="208">
        <f t="shared" si="9"/>
        <v>0</v>
      </c>
      <c r="I41" s="51">
        <f t="shared" si="9"/>
        <v>0</v>
      </c>
      <c r="J41" s="52">
        <f t="shared" si="9"/>
        <v>0</v>
      </c>
      <c r="K41" s="206">
        <f t="shared" si="9"/>
        <v>0</v>
      </c>
      <c r="L41" s="216"/>
      <c r="M41" s="217"/>
      <c r="N41" s="217"/>
      <c r="O41" s="217"/>
      <c r="P41" s="217"/>
      <c r="Q41" s="217"/>
      <c r="R41" s="217"/>
      <c r="S41" s="217"/>
      <c r="T41" s="217"/>
      <c r="U41" s="217"/>
      <c r="V41" s="217"/>
      <c r="W41" s="217"/>
    </row>
    <row r="42" spans="1:23" ht="11.25" customHeight="1" x14ac:dyDescent="0.2">
      <c r="A42" s="209" t="str">
        <f>'[2]Org structure'!E102</f>
        <v>10,1 - Public Toilets</v>
      </c>
      <c r="B42" s="210"/>
      <c r="C42" s="211"/>
      <c r="D42" s="211"/>
      <c r="E42" s="212"/>
      <c r="F42" s="88"/>
      <c r="G42" s="211"/>
      <c r="H42" s="87"/>
      <c r="I42" s="213"/>
      <c r="J42" s="211"/>
      <c r="K42" s="212"/>
      <c r="L42" s="216"/>
      <c r="M42" s="217"/>
      <c r="N42" s="217"/>
      <c r="O42" s="217"/>
      <c r="P42" s="217"/>
      <c r="Q42" s="217"/>
      <c r="R42" s="217"/>
      <c r="S42" s="217"/>
      <c r="T42" s="217"/>
      <c r="U42" s="217"/>
      <c r="V42" s="217"/>
      <c r="W42" s="217"/>
    </row>
    <row r="43" spans="1:23" ht="15" customHeight="1" x14ac:dyDescent="0.2">
      <c r="A43" s="218" t="str">
        <f>'[2]Org structure'!A12</f>
        <v>Vote 11 - Waste Management</v>
      </c>
      <c r="B43" s="210"/>
      <c r="C43" s="52">
        <f t="shared" ref="C43:K43" si="10">SUM(C44:C44)</f>
        <v>3646541</v>
      </c>
      <c r="D43" s="52">
        <f t="shared" si="10"/>
        <v>3966041.54</v>
      </c>
      <c r="E43" s="206">
        <f t="shared" si="10"/>
        <v>4193295</v>
      </c>
      <c r="F43" s="207">
        <f t="shared" si="10"/>
        <v>6243397</v>
      </c>
      <c r="G43" s="52">
        <f t="shared" si="10"/>
        <v>8243397</v>
      </c>
      <c r="H43" s="208">
        <f t="shared" si="10"/>
        <v>8243397</v>
      </c>
      <c r="I43" s="51">
        <f t="shared" si="10"/>
        <v>8672053</v>
      </c>
      <c r="J43" s="52">
        <f t="shared" si="10"/>
        <v>9140344</v>
      </c>
      <c r="K43" s="206">
        <f t="shared" si="10"/>
        <v>9633923</v>
      </c>
      <c r="L43" s="216"/>
      <c r="M43" s="217"/>
      <c r="N43" s="217"/>
      <c r="O43" s="217"/>
      <c r="P43" s="217"/>
      <c r="Q43" s="217"/>
      <c r="R43" s="217"/>
      <c r="S43" s="217"/>
      <c r="T43" s="217"/>
      <c r="U43" s="217"/>
      <c r="V43" s="217"/>
      <c r="W43" s="217"/>
    </row>
    <row r="44" spans="1:23" ht="11.25" customHeight="1" x14ac:dyDescent="0.2">
      <c r="A44" s="209" t="str">
        <f>'[2]Org structure'!E113</f>
        <v>11,1 - Solid Waste Removal</v>
      </c>
      <c r="B44" s="210"/>
      <c r="C44" s="78">
        <v>3646541</v>
      </c>
      <c r="D44" s="78">
        <v>3966041.54</v>
      </c>
      <c r="E44" s="214">
        <v>4193295</v>
      </c>
      <c r="F44" s="61">
        <v>6243397</v>
      </c>
      <c r="G44" s="78">
        <v>8243397</v>
      </c>
      <c r="H44" s="214">
        <v>8243397</v>
      </c>
      <c r="I44" s="61">
        <v>8672053</v>
      </c>
      <c r="J44" s="78">
        <v>9140344</v>
      </c>
      <c r="K44" s="214">
        <v>9633923</v>
      </c>
      <c r="L44" s="216"/>
      <c r="M44" s="217"/>
      <c r="N44" s="217"/>
      <c r="O44" s="217"/>
      <c r="P44" s="217"/>
      <c r="Q44" s="217"/>
      <c r="R44" s="217"/>
      <c r="S44" s="217"/>
      <c r="T44" s="217"/>
      <c r="U44" s="217"/>
      <c r="V44" s="217"/>
      <c r="W44" s="217"/>
    </row>
    <row r="45" spans="1:23" ht="15" customHeight="1" x14ac:dyDescent="0.2">
      <c r="A45" s="218" t="str">
        <f>'[2]Org structure'!A13</f>
        <v>Vote 12 - [NAME OF VOTE 12]</v>
      </c>
      <c r="B45" s="210"/>
      <c r="C45" s="52">
        <f t="shared" ref="C45:K45" si="11">SUM(C46:C46)</f>
        <v>0</v>
      </c>
      <c r="D45" s="52">
        <f t="shared" si="11"/>
        <v>0</v>
      </c>
      <c r="E45" s="206">
        <f t="shared" si="11"/>
        <v>0</v>
      </c>
      <c r="F45" s="207">
        <f t="shared" si="11"/>
        <v>0</v>
      </c>
      <c r="G45" s="52">
        <f t="shared" si="11"/>
        <v>0</v>
      </c>
      <c r="H45" s="208">
        <f t="shared" si="11"/>
        <v>0</v>
      </c>
      <c r="I45" s="51">
        <f t="shared" si="11"/>
        <v>0</v>
      </c>
      <c r="J45" s="52">
        <f t="shared" si="11"/>
        <v>0</v>
      </c>
      <c r="K45" s="206">
        <f t="shared" si="11"/>
        <v>0</v>
      </c>
      <c r="L45" s="216"/>
      <c r="M45" s="217"/>
      <c r="N45" s="217"/>
      <c r="O45" s="217"/>
      <c r="P45" s="217"/>
      <c r="Q45" s="217"/>
      <c r="R45" s="217"/>
      <c r="S45" s="217"/>
      <c r="T45" s="217"/>
      <c r="U45" s="217"/>
      <c r="V45" s="217"/>
      <c r="W45" s="217"/>
    </row>
    <row r="46" spans="1:23" ht="11.25" customHeight="1" x14ac:dyDescent="0.2">
      <c r="A46" s="209" t="str">
        <f>'[2]Org structure'!E124</f>
        <v>12.1 - [Name of sub-vote]</v>
      </c>
      <c r="B46" s="210"/>
      <c r="C46" s="211"/>
      <c r="D46" s="211"/>
      <c r="E46" s="212"/>
      <c r="F46" s="88"/>
      <c r="G46" s="211"/>
      <c r="H46" s="87"/>
      <c r="I46" s="213"/>
      <c r="J46" s="211"/>
      <c r="K46" s="212"/>
      <c r="L46" s="216"/>
      <c r="M46" s="217"/>
      <c r="N46" s="217"/>
      <c r="O46" s="217"/>
      <c r="P46" s="217"/>
      <c r="Q46" s="217"/>
      <c r="R46" s="217"/>
      <c r="S46" s="217"/>
      <c r="T46" s="217"/>
      <c r="U46" s="217"/>
      <c r="V46" s="217"/>
      <c r="W46" s="217"/>
    </row>
    <row r="47" spans="1:23" ht="15" customHeight="1" x14ac:dyDescent="0.2">
      <c r="A47" s="218" t="str">
        <f>'[2]Org structure'!A14</f>
        <v>Vote 13 - [NAME OF VOTE 13]</v>
      </c>
      <c r="B47" s="210"/>
      <c r="C47" s="52">
        <f t="shared" ref="C47:K47" si="12">SUM(C48:C48)</f>
        <v>0</v>
      </c>
      <c r="D47" s="52">
        <f t="shared" si="12"/>
        <v>0</v>
      </c>
      <c r="E47" s="206">
        <f t="shared" si="12"/>
        <v>0</v>
      </c>
      <c r="F47" s="207">
        <f t="shared" si="12"/>
        <v>0</v>
      </c>
      <c r="G47" s="52">
        <f t="shared" si="12"/>
        <v>0</v>
      </c>
      <c r="H47" s="208">
        <f t="shared" si="12"/>
        <v>0</v>
      </c>
      <c r="I47" s="51">
        <f t="shared" si="12"/>
        <v>0</v>
      </c>
      <c r="J47" s="52">
        <f t="shared" si="12"/>
        <v>0</v>
      </c>
      <c r="K47" s="206">
        <f t="shared" si="12"/>
        <v>0</v>
      </c>
      <c r="L47" s="216"/>
      <c r="M47" s="217"/>
      <c r="N47" s="217"/>
      <c r="O47" s="217"/>
      <c r="P47" s="217"/>
      <c r="Q47" s="217"/>
      <c r="R47" s="217"/>
      <c r="S47" s="217"/>
      <c r="T47" s="217"/>
      <c r="U47" s="217"/>
      <c r="V47" s="217"/>
      <c r="W47" s="217"/>
    </row>
    <row r="48" spans="1:23" ht="11.25" customHeight="1" x14ac:dyDescent="0.2">
      <c r="A48" s="209" t="str">
        <f>'[2]Org structure'!E135</f>
        <v>13.1 - [Name of sub-vote]</v>
      </c>
      <c r="B48" s="210"/>
      <c r="C48" s="211"/>
      <c r="D48" s="211"/>
      <c r="E48" s="212"/>
      <c r="F48" s="88"/>
      <c r="G48" s="211"/>
      <c r="H48" s="87"/>
      <c r="I48" s="213"/>
      <c r="J48" s="211"/>
      <c r="K48" s="212"/>
      <c r="L48" s="216"/>
      <c r="M48" s="217"/>
      <c r="N48" s="217"/>
      <c r="O48" s="217"/>
      <c r="P48" s="217"/>
      <c r="Q48" s="217"/>
      <c r="R48" s="217"/>
      <c r="S48" s="217"/>
      <c r="T48" s="217"/>
      <c r="U48" s="217"/>
      <c r="V48" s="217"/>
      <c r="W48" s="217"/>
    </row>
    <row r="49" spans="1:23" ht="15" customHeight="1" x14ac:dyDescent="0.2">
      <c r="A49" s="218" t="str">
        <f>'[2]Org structure'!A15</f>
        <v>Vote 14 - [NAME OF VOTE 14]</v>
      </c>
      <c r="B49" s="210"/>
      <c r="C49" s="52">
        <f t="shared" ref="C49:K49" si="13">SUM(C50:C50)</f>
        <v>0</v>
      </c>
      <c r="D49" s="52">
        <f t="shared" si="13"/>
        <v>0</v>
      </c>
      <c r="E49" s="206">
        <f t="shared" si="13"/>
        <v>0</v>
      </c>
      <c r="F49" s="207">
        <f t="shared" si="13"/>
        <v>0</v>
      </c>
      <c r="G49" s="52">
        <f t="shared" si="13"/>
        <v>0</v>
      </c>
      <c r="H49" s="208">
        <f t="shared" si="13"/>
        <v>0</v>
      </c>
      <c r="I49" s="51">
        <f t="shared" si="13"/>
        <v>0</v>
      </c>
      <c r="J49" s="52">
        <f t="shared" si="13"/>
        <v>0</v>
      </c>
      <c r="K49" s="206">
        <f t="shared" si="13"/>
        <v>0</v>
      </c>
      <c r="L49" s="216"/>
      <c r="M49" s="217"/>
      <c r="N49" s="217"/>
      <c r="O49" s="217"/>
      <c r="P49" s="217"/>
      <c r="Q49" s="217"/>
      <c r="R49" s="217"/>
      <c r="S49" s="217"/>
      <c r="T49" s="217"/>
      <c r="U49" s="217"/>
      <c r="V49" s="217"/>
      <c r="W49" s="217"/>
    </row>
    <row r="50" spans="1:23" ht="11.25" customHeight="1" x14ac:dyDescent="0.2">
      <c r="A50" s="209" t="str">
        <f>'[2]Org structure'!E146</f>
        <v>14.1 - [Name of sub-vote]</v>
      </c>
      <c r="B50" s="210"/>
      <c r="C50" s="211"/>
      <c r="D50" s="211"/>
      <c r="E50" s="212"/>
      <c r="F50" s="88"/>
      <c r="G50" s="211"/>
      <c r="H50" s="87"/>
      <c r="I50" s="213"/>
      <c r="J50" s="211"/>
      <c r="K50" s="212"/>
      <c r="L50" s="216"/>
      <c r="M50" s="217"/>
      <c r="N50" s="217"/>
      <c r="O50" s="217"/>
      <c r="P50" s="217"/>
      <c r="Q50" s="217"/>
      <c r="R50" s="217"/>
      <c r="S50" s="217"/>
      <c r="T50" s="217"/>
      <c r="U50" s="217"/>
      <c r="V50" s="217"/>
      <c r="W50" s="217"/>
    </row>
    <row r="51" spans="1:23" ht="15" customHeight="1" x14ac:dyDescent="0.2">
      <c r="A51" s="218" t="str">
        <f>'[2]Org structure'!A16</f>
        <v>Vote 15 - [NAME OF VOTE 15]</v>
      </c>
      <c r="B51" s="210"/>
      <c r="C51" s="52">
        <f t="shared" ref="C51:K51" si="14">SUM(C52:C52)</f>
        <v>0</v>
      </c>
      <c r="D51" s="52">
        <f t="shared" si="14"/>
        <v>0</v>
      </c>
      <c r="E51" s="206">
        <f t="shared" si="14"/>
        <v>0</v>
      </c>
      <c r="F51" s="207">
        <f t="shared" si="14"/>
        <v>0</v>
      </c>
      <c r="G51" s="52">
        <f t="shared" si="14"/>
        <v>0</v>
      </c>
      <c r="H51" s="208">
        <f t="shared" si="14"/>
        <v>0</v>
      </c>
      <c r="I51" s="51">
        <f t="shared" si="14"/>
        <v>0</v>
      </c>
      <c r="J51" s="52">
        <f t="shared" si="14"/>
        <v>0</v>
      </c>
      <c r="K51" s="206">
        <f t="shared" si="14"/>
        <v>0</v>
      </c>
      <c r="L51" s="216"/>
      <c r="M51" s="217"/>
      <c r="N51" s="217"/>
      <c r="O51" s="217"/>
      <c r="P51" s="217"/>
      <c r="Q51" s="217"/>
      <c r="R51" s="217"/>
      <c r="S51" s="217"/>
      <c r="T51" s="217"/>
      <c r="U51" s="217"/>
      <c r="V51" s="217"/>
      <c r="W51" s="217"/>
    </row>
    <row r="52" spans="1:23" ht="11.25" customHeight="1" x14ac:dyDescent="0.2">
      <c r="A52" s="209" t="str">
        <f>'[2]Org structure'!E157</f>
        <v>15.1 - [Name of sub-vote]</v>
      </c>
      <c r="B52" s="210"/>
      <c r="C52" s="211"/>
      <c r="D52" s="211"/>
      <c r="E52" s="212"/>
      <c r="F52" s="88"/>
      <c r="G52" s="211"/>
      <c r="H52" s="87"/>
      <c r="I52" s="213"/>
      <c r="J52" s="211"/>
      <c r="K52" s="212"/>
      <c r="L52" s="216"/>
      <c r="M52" s="217"/>
      <c r="N52" s="217"/>
      <c r="O52" s="217"/>
      <c r="P52" s="217"/>
      <c r="Q52" s="217"/>
      <c r="R52" s="217"/>
      <c r="S52" s="217"/>
      <c r="T52" s="217"/>
      <c r="U52" s="217"/>
      <c r="V52" s="217"/>
      <c r="W52" s="217"/>
    </row>
    <row r="53" spans="1:23" ht="11.25" customHeight="1" x14ac:dyDescent="0.2">
      <c r="A53" s="219" t="s">
        <v>390</v>
      </c>
      <c r="B53" s="199">
        <v>2</v>
      </c>
      <c r="C53" s="56">
        <f t="shared" ref="C53:K53" si="15">C5+C8+C19+C21+C26+C28+C30+C34+C38+C41+C43+C45+C47+C49+C51</f>
        <v>345723035</v>
      </c>
      <c r="D53" s="56">
        <f t="shared" si="15"/>
        <v>320569179</v>
      </c>
      <c r="E53" s="220">
        <f t="shared" si="15"/>
        <v>344212945</v>
      </c>
      <c r="F53" s="221">
        <f t="shared" si="15"/>
        <v>402707680.44000006</v>
      </c>
      <c r="G53" s="56">
        <f t="shared" si="15"/>
        <v>469124881.44000006</v>
      </c>
      <c r="H53" s="222">
        <f t="shared" si="15"/>
        <v>469124881.44000006</v>
      </c>
      <c r="I53" s="55">
        <f t="shared" si="15"/>
        <v>460142443</v>
      </c>
      <c r="J53" s="56">
        <f t="shared" si="15"/>
        <v>495327606</v>
      </c>
      <c r="K53" s="220">
        <f t="shared" si="15"/>
        <v>528562346</v>
      </c>
      <c r="L53" s="223" t="e">
        <f>SUM(#REF!)</f>
        <v>#REF!</v>
      </c>
      <c r="M53" s="224" t="e">
        <f>SUM(#REF!)</f>
        <v>#REF!</v>
      </c>
      <c r="N53" s="224" t="e">
        <f>SUM(#REF!)</f>
        <v>#REF!</v>
      </c>
      <c r="O53" s="224" t="e">
        <f>SUM(#REF!)</f>
        <v>#REF!</v>
      </c>
      <c r="P53" s="224" t="e">
        <f>SUM(#REF!)</f>
        <v>#REF!</v>
      </c>
      <c r="Q53" s="224" t="e">
        <f>SUM(#REF!)</f>
        <v>#REF!</v>
      </c>
      <c r="R53" s="224" t="e">
        <f>SUM(#REF!)</f>
        <v>#REF!</v>
      </c>
      <c r="S53" s="224" t="e">
        <f>SUM(#REF!)</f>
        <v>#REF!</v>
      </c>
      <c r="T53" s="224" t="e">
        <f>SUM(#REF!)</f>
        <v>#REF!</v>
      </c>
      <c r="U53" s="224" t="e">
        <f>SUM(#REF!)</f>
        <v>#REF!</v>
      </c>
      <c r="V53" s="224" t="e">
        <f>SUM(#REF!)</f>
        <v>#REF!</v>
      </c>
      <c r="W53" s="224" t="e">
        <f>SUM(#REF!)</f>
        <v>#REF!</v>
      </c>
    </row>
    <row r="54" spans="1:23" ht="4.95" customHeight="1" x14ac:dyDescent="0.2">
      <c r="A54" s="225"/>
      <c r="B54" s="226"/>
      <c r="C54" s="58"/>
      <c r="D54" s="58"/>
      <c r="E54" s="227"/>
      <c r="F54" s="228"/>
      <c r="G54" s="58"/>
      <c r="H54" s="229"/>
      <c r="I54" s="57"/>
      <c r="J54" s="58"/>
      <c r="K54" s="227"/>
      <c r="L54" s="216"/>
      <c r="M54" s="217"/>
      <c r="N54" s="217"/>
      <c r="O54" s="217"/>
      <c r="P54" s="217"/>
      <c r="Q54" s="217"/>
      <c r="R54" s="217"/>
      <c r="S54" s="217"/>
      <c r="T54" s="217"/>
      <c r="U54" s="217"/>
      <c r="V54" s="217"/>
      <c r="W54" s="217"/>
    </row>
    <row r="55" spans="1:23" ht="11.25" customHeight="1" x14ac:dyDescent="0.2">
      <c r="A55" s="230" t="s">
        <v>391</v>
      </c>
      <c r="B55" s="231">
        <v>1</v>
      </c>
      <c r="C55" s="232"/>
      <c r="D55" s="232"/>
      <c r="E55" s="233"/>
      <c r="F55" s="234"/>
      <c r="G55" s="232"/>
      <c r="H55" s="235"/>
      <c r="I55" s="236"/>
      <c r="J55" s="232"/>
      <c r="K55" s="233"/>
      <c r="L55" s="216"/>
      <c r="M55" s="217"/>
      <c r="N55" s="217"/>
      <c r="O55" s="217"/>
      <c r="P55" s="217"/>
      <c r="Q55" s="217"/>
      <c r="R55" s="217"/>
      <c r="S55" s="217"/>
      <c r="T55" s="217"/>
      <c r="U55" s="217"/>
      <c r="V55" s="217"/>
      <c r="W55" s="217"/>
    </row>
    <row r="56" spans="1:23" ht="15" customHeight="1" x14ac:dyDescent="0.2">
      <c r="A56" s="204" t="str">
        <f t="shared" ref="A56:A103" si="16">A5</f>
        <v>Vote 1 - Executive &amp; Council</v>
      </c>
      <c r="B56" s="237"/>
      <c r="C56" s="60">
        <f t="shared" ref="C56:K56" si="17">SUM(C57:C58)</f>
        <v>56239143</v>
      </c>
      <c r="D56" s="60">
        <f t="shared" si="17"/>
        <v>71524875.870000005</v>
      </c>
      <c r="E56" s="238">
        <f t="shared" si="17"/>
        <v>65494849</v>
      </c>
      <c r="F56" s="239">
        <f t="shared" si="17"/>
        <v>47800391.169999994</v>
      </c>
      <c r="G56" s="60">
        <f t="shared" si="17"/>
        <v>52383119.170000002</v>
      </c>
      <c r="H56" s="240">
        <f t="shared" si="17"/>
        <v>52383119.170000002</v>
      </c>
      <c r="I56" s="59">
        <f t="shared" si="17"/>
        <v>55042807</v>
      </c>
      <c r="J56" s="60">
        <f t="shared" si="17"/>
        <v>58188850</v>
      </c>
      <c r="K56" s="238">
        <f t="shared" si="17"/>
        <v>61461249</v>
      </c>
      <c r="L56" s="216"/>
      <c r="M56" s="217"/>
      <c r="N56" s="217"/>
      <c r="O56" s="217"/>
      <c r="P56" s="217"/>
      <c r="Q56" s="217"/>
      <c r="R56" s="217"/>
      <c r="S56" s="217"/>
      <c r="T56" s="217"/>
      <c r="U56" s="217"/>
      <c r="V56" s="217"/>
      <c r="W56" s="217"/>
    </row>
    <row r="57" spans="1:23" ht="11.25" customHeight="1" x14ac:dyDescent="0.2">
      <c r="A57" s="209" t="str">
        <f t="shared" si="16"/>
        <v>1,1 - Mayor and Council</v>
      </c>
      <c r="B57" s="210"/>
      <c r="C57" s="78">
        <v>46697647</v>
      </c>
      <c r="D57" s="214">
        <v>61666926.82</v>
      </c>
      <c r="E57" s="78">
        <v>58053543</v>
      </c>
      <c r="F57" s="78">
        <v>39561229.979999997</v>
      </c>
      <c r="G57" s="78">
        <v>43261501.979999997</v>
      </c>
      <c r="H57" s="78">
        <v>43261501.979999997</v>
      </c>
      <c r="I57" s="61">
        <v>43765407</v>
      </c>
      <c r="J57" s="78">
        <v>46191460</v>
      </c>
      <c r="K57" s="214">
        <v>48752886</v>
      </c>
      <c r="L57" s="216"/>
      <c r="M57" s="217"/>
      <c r="N57" s="217"/>
      <c r="O57" s="217"/>
      <c r="P57" s="217"/>
      <c r="Q57" s="217"/>
      <c r="R57" s="217"/>
      <c r="S57" s="217"/>
      <c r="T57" s="217"/>
      <c r="U57" s="217"/>
      <c r="V57" s="217"/>
      <c r="W57" s="217"/>
    </row>
    <row r="58" spans="1:23" ht="11.25" customHeight="1" x14ac:dyDescent="0.2">
      <c r="A58" s="209" t="str">
        <f t="shared" si="16"/>
        <v>1,2 - Municipal Manager</v>
      </c>
      <c r="B58" s="210"/>
      <c r="C58" s="78">
        <v>9541496</v>
      </c>
      <c r="D58" s="214">
        <v>9857949.0500000007</v>
      </c>
      <c r="E58" s="78">
        <v>7441306</v>
      </c>
      <c r="F58" s="78">
        <v>8239161.1900000004</v>
      </c>
      <c r="G58" s="78">
        <v>9121617.1900000013</v>
      </c>
      <c r="H58" s="78">
        <v>9121617.1900000013</v>
      </c>
      <c r="I58" s="61">
        <v>11277400</v>
      </c>
      <c r="J58" s="78">
        <v>11997390</v>
      </c>
      <c r="K58" s="214">
        <v>12708363</v>
      </c>
      <c r="L58" s="216"/>
      <c r="M58" s="217"/>
      <c r="N58" s="217"/>
      <c r="O58" s="217"/>
      <c r="P58" s="217"/>
      <c r="Q58" s="217"/>
      <c r="R58" s="217"/>
      <c r="S58" s="217"/>
      <c r="T58" s="217"/>
      <c r="U58" s="217"/>
      <c r="V58" s="217"/>
      <c r="W58" s="217"/>
    </row>
    <row r="59" spans="1:23" ht="15" customHeight="1" x14ac:dyDescent="0.2">
      <c r="A59" s="204" t="str">
        <f t="shared" si="16"/>
        <v>Vote 2 - Finance and Administration</v>
      </c>
      <c r="B59" s="205"/>
      <c r="C59" s="52">
        <f>SUM(C60:C69)</f>
        <v>64647846</v>
      </c>
      <c r="D59" s="52">
        <f>SUM(D60:D69)</f>
        <v>72040130.039999992</v>
      </c>
      <c r="E59" s="206">
        <f t="shared" ref="E59:K59" si="18">SUM(E60:E69)</f>
        <v>80597238</v>
      </c>
      <c r="F59" s="207">
        <f t="shared" si="18"/>
        <v>74406900.689999998</v>
      </c>
      <c r="G59" s="52">
        <f t="shared" si="18"/>
        <v>90901596.689999983</v>
      </c>
      <c r="H59" s="208">
        <f t="shared" si="18"/>
        <v>90901596.689999983</v>
      </c>
      <c r="I59" s="51">
        <f t="shared" si="18"/>
        <v>98346377</v>
      </c>
      <c r="J59" s="52">
        <f t="shared" si="18"/>
        <v>103669749</v>
      </c>
      <c r="K59" s="206">
        <f t="shared" si="18"/>
        <v>109799312</v>
      </c>
      <c r="L59" s="243"/>
      <c r="M59" s="244"/>
      <c r="N59" s="244"/>
      <c r="O59" s="244"/>
      <c r="P59" s="244"/>
      <c r="Q59" s="244"/>
      <c r="R59" s="244"/>
      <c r="S59" s="244"/>
      <c r="T59" s="244"/>
      <c r="U59" s="244"/>
      <c r="V59" s="244"/>
      <c r="W59" s="244"/>
    </row>
    <row r="60" spans="1:23" ht="11.25" customHeight="1" x14ac:dyDescent="0.2">
      <c r="A60" s="209" t="str">
        <f t="shared" si="16"/>
        <v>2,1 - Administrative and Corporate Support</v>
      </c>
      <c r="B60" s="210"/>
      <c r="C60" s="78">
        <v>15367614</v>
      </c>
      <c r="D60" s="214">
        <v>14080487.02</v>
      </c>
      <c r="E60" s="214">
        <v>25731390</v>
      </c>
      <c r="F60" s="61">
        <v>20206768.219999999</v>
      </c>
      <c r="G60" s="78">
        <v>21178859.219999999</v>
      </c>
      <c r="H60" s="214">
        <v>21178859.219999999</v>
      </c>
      <c r="I60" s="61">
        <v>20840040</v>
      </c>
      <c r="J60" s="78">
        <v>22058795</v>
      </c>
      <c r="K60" s="214">
        <v>23349814</v>
      </c>
      <c r="L60" s="243"/>
      <c r="M60" s="244"/>
      <c r="N60" s="244"/>
      <c r="O60" s="244"/>
      <c r="P60" s="244"/>
      <c r="Q60" s="244"/>
      <c r="R60" s="244"/>
      <c r="S60" s="244"/>
      <c r="T60" s="244"/>
      <c r="U60" s="244"/>
      <c r="V60" s="244"/>
      <c r="W60" s="244"/>
    </row>
    <row r="61" spans="1:23" ht="11.25" customHeight="1" x14ac:dyDescent="0.2">
      <c r="A61" s="209" t="str">
        <f t="shared" si="16"/>
        <v>2,2 - Asset Management</v>
      </c>
      <c r="B61" s="210"/>
      <c r="C61" s="78">
        <v>0</v>
      </c>
      <c r="D61" s="214">
        <v>0</v>
      </c>
      <c r="E61" s="214">
        <v>4088835</v>
      </c>
      <c r="F61" s="61">
        <v>4087160.29</v>
      </c>
      <c r="G61" s="78">
        <v>4276405.29</v>
      </c>
      <c r="H61" s="214">
        <v>4276405.29</v>
      </c>
      <c r="I61" s="61">
        <v>5306062</v>
      </c>
      <c r="J61" s="78">
        <v>5644396</v>
      </c>
      <c r="K61" s="214">
        <v>6004574</v>
      </c>
      <c r="L61" s="243"/>
      <c r="M61" s="244"/>
      <c r="N61" s="244"/>
      <c r="O61" s="244"/>
      <c r="P61" s="244"/>
      <c r="Q61" s="244"/>
      <c r="R61" s="244"/>
      <c r="S61" s="244"/>
      <c r="T61" s="244"/>
      <c r="U61" s="244"/>
      <c r="V61" s="244"/>
      <c r="W61" s="244"/>
    </row>
    <row r="62" spans="1:23" ht="11.25" customHeight="1" x14ac:dyDescent="0.2">
      <c r="A62" s="209" t="str">
        <f t="shared" si="16"/>
        <v>2,3 - Budget and Treasury Office</v>
      </c>
      <c r="B62" s="210"/>
      <c r="C62" s="78">
        <v>22859510</v>
      </c>
      <c r="D62" s="214">
        <v>27485052.869999997</v>
      </c>
      <c r="E62" s="214">
        <v>26820570</v>
      </c>
      <c r="F62" s="61">
        <v>23968834.34</v>
      </c>
      <c r="G62" s="78">
        <v>31766182.34</v>
      </c>
      <c r="H62" s="214">
        <v>31766182.34</v>
      </c>
      <c r="I62" s="61">
        <v>32503101</v>
      </c>
      <c r="J62" s="78">
        <v>34317463</v>
      </c>
      <c r="K62" s="214">
        <v>36241885</v>
      </c>
      <c r="L62" s="243"/>
      <c r="M62" s="244"/>
      <c r="N62" s="244"/>
      <c r="O62" s="244"/>
      <c r="P62" s="244"/>
      <c r="Q62" s="244"/>
      <c r="R62" s="244"/>
      <c r="S62" s="244"/>
      <c r="T62" s="244"/>
      <c r="U62" s="244"/>
      <c r="V62" s="244"/>
      <c r="W62" s="244"/>
    </row>
    <row r="63" spans="1:23" ht="11.25" customHeight="1" x14ac:dyDescent="0.2">
      <c r="A63" s="209" t="str">
        <f t="shared" si="16"/>
        <v>2,4 - Human Resource</v>
      </c>
      <c r="B63" s="210"/>
      <c r="C63" s="78">
        <v>4521657</v>
      </c>
      <c r="D63" s="78">
        <v>3689633.19</v>
      </c>
      <c r="E63" s="241">
        <v>5181285</v>
      </c>
      <c r="F63" s="167">
        <v>6977174.9299999997</v>
      </c>
      <c r="G63" s="78">
        <v>8062539.9299999997</v>
      </c>
      <c r="H63" s="242">
        <v>8062539.9299999997</v>
      </c>
      <c r="I63" s="61">
        <v>8903613</v>
      </c>
      <c r="J63" s="78">
        <v>9420724</v>
      </c>
      <c r="K63" s="241">
        <v>9968266</v>
      </c>
      <c r="L63" s="243"/>
      <c r="M63" s="244"/>
      <c r="N63" s="244"/>
      <c r="O63" s="244"/>
      <c r="P63" s="244"/>
      <c r="Q63" s="244"/>
      <c r="R63" s="244"/>
      <c r="S63" s="244"/>
      <c r="T63" s="244"/>
      <c r="U63" s="244"/>
      <c r="V63" s="244"/>
      <c r="W63" s="244"/>
    </row>
    <row r="64" spans="1:23" ht="11.25" customHeight="1" x14ac:dyDescent="0.2">
      <c r="A64" s="209" t="str">
        <f t="shared" si="16"/>
        <v>2,5 - Information Technology</v>
      </c>
      <c r="B64" s="210"/>
      <c r="C64" s="78">
        <v>3453761</v>
      </c>
      <c r="D64" s="78">
        <v>4603479.209999999</v>
      </c>
      <c r="E64" s="241">
        <v>6364955</v>
      </c>
      <c r="F64" s="167">
        <v>6403449.8200000003</v>
      </c>
      <c r="G64" s="78">
        <v>5438745.8200000003</v>
      </c>
      <c r="H64" s="242">
        <v>5438745.8200000003</v>
      </c>
      <c r="I64" s="61">
        <v>6587608</v>
      </c>
      <c r="J64" s="78">
        <v>6972965</v>
      </c>
      <c r="K64" s="241">
        <v>7381176</v>
      </c>
      <c r="L64" s="243"/>
      <c r="M64" s="244"/>
      <c r="N64" s="244"/>
      <c r="O64" s="244"/>
      <c r="P64" s="244"/>
      <c r="Q64" s="244"/>
      <c r="R64" s="244"/>
      <c r="S64" s="244"/>
      <c r="T64" s="244"/>
      <c r="U64" s="244"/>
      <c r="V64" s="244"/>
      <c r="W64" s="244"/>
    </row>
    <row r="65" spans="1:23" ht="11.25" customHeight="1" x14ac:dyDescent="0.2">
      <c r="A65" s="209" t="str">
        <f t="shared" si="16"/>
        <v>2,6 - Legal Services</v>
      </c>
      <c r="B65" s="210"/>
      <c r="C65" s="78">
        <v>0</v>
      </c>
      <c r="D65" s="78">
        <v>0</v>
      </c>
      <c r="E65" s="241">
        <v>6398289</v>
      </c>
      <c r="F65" s="167">
        <v>4346185.0999999996</v>
      </c>
      <c r="G65" s="78">
        <v>7090268.0999999996</v>
      </c>
      <c r="H65" s="242">
        <v>7090268.0999999996</v>
      </c>
      <c r="I65" s="61">
        <v>6674848</v>
      </c>
      <c r="J65" s="78">
        <v>7026847</v>
      </c>
      <c r="K65" s="241">
        <v>7433891</v>
      </c>
      <c r="L65" s="243"/>
      <c r="M65" s="244"/>
      <c r="N65" s="244"/>
      <c r="O65" s="244"/>
      <c r="P65" s="244"/>
      <c r="Q65" s="244"/>
      <c r="R65" s="244"/>
      <c r="S65" s="244"/>
      <c r="T65" s="244"/>
      <c r="U65" s="244"/>
      <c r="V65" s="244"/>
      <c r="W65" s="244"/>
    </row>
    <row r="66" spans="1:23" ht="11.25" customHeight="1" x14ac:dyDescent="0.2">
      <c r="A66" s="209" t="str">
        <f t="shared" si="16"/>
        <v>2,7 - Customer Relation and Coordination</v>
      </c>
      <c r="B66" s="210"/>
      <c r="C66" s="78">
        <v>0</v>
      </c>
      <c r="D66" s="78">
        <v>0</v>
      </c>
      <c r="E66" s="241">
        <v>1427977</v>
      </c>
      <c r="F66" s="167">
        <v>2151894.46</v>
      </c>
      <c r="G66" s="78">
        <v>2151894.46</v>
      </c>
      <c r="H66" s="242">
        <v>2151894.46</v>
      </c>
      <c r="I66" s="61">
        <v>4059673</v>
      </c>
      <c r="J66" s="78">
        <v>3858915</v>
      </c>
      <c r="K66" s="241">
        <v>4091563</v>
      </c>
      <c r="L66" s="243"/>
      <c r="M66" s="244"/>
      <c r="N66" s="244"/>
      <c r="O66" s="244"/>
      <c r="P66" s="244"/>
      <c r="Q66" s="244"/>
      <c r="R66" s="244"/>
      <c r="S66" s="244"/>
      <c r="T66" s="244"/>
      <c r="U66" s="244"/>
      <c r="V66" s="244"/>
      <c r="W66" s="244"/>
    </row>
    <row r="67" spans="1:23" ht="11.25" customHeight="1" x14ac:dyDescent="0.2">
      <c r="A67" s="209" t="str">
        <f t="shared" si="16"/>
        <v>2,8 - Property Services</v>
      </c>
      <c r="B67" s="210"/>
      <c r="C67" s="78">
        <v>18445304</v>
      </c>
      <c r="D67" s="78">
        <v>22181477.75</v>
      </c>
      <c r="E67" s="241">
        <v>1456662</v>
      </c>
      <c r="F67" s="167">
        <v>3136452</v>
      </c>
      <c r="G67" s="78">
        <v>7599612</v>
      </c>
      <c r="H67" s="242">
        <v>7599612</v>
      </c>
      <c r="I67" s="61">
        <v>10036054</v>
      </c>
      <c r="J67" s="78">
        <v>10703398</v>
      </c>
      <c r="K67" s="241">
        <v>11415432</v>
      </c>
      <c r="L67" s="243"/>
      <c r="M67" s="244"/>
      <c r="N67" s="244"/>
      <c r="O67" s="244"/>
      <c r="P67" s="244"/>
      <c r="Q67" s="244"/>
      <c r="R67" s="244"/>
      <c r="S67" s="244"/>
      <c r="T67" s="244"/>
      <c r="U67" s="244"/>
      <c r="V67" s="244"/>
      <c r="W67" s="244"/>
    </row>
    <row r="68" spans="1:23" ht="11.25" customHeight="1" x14ac:dyDescent="0.2">
      <c r="A68" s="209" t="str">
        <f t="shared" si="16"/>
        <v>2,9 - Risk Management</v>
      </c>
      <c r="B68" s="210"/>
      <c r="C68" s="78">
        <v>0</v>
      </c>
      <c r="D68" s="78">
        <v>0</v>
      </c>
      <c r="E68" s="241">
        <v>826803</v>
      </c>
      <c r="F68" s="167">
        <v>847756.79</v>
      </c>
      <c r="G68" s="78">
        <v>864863.79</v>
      </c>
      <c r="H68" s="242">
        <v>864863.79</v>
      </c>
      <c r="I68" s="61">
        <v>1029647</v>
      </c>
      <c r="J68" s="78">
        <v>1096302</v>
      </c>
      <c r="K68" s="241">
        <v>1167319</v>
      </c>
      <c r="L68" s="243"/>
      <c r="M68" s="244"/>
      <c r="N68" s="244"/>
      <c r="O68" s="244"/>
      <c r="P68" s="244"/>
      <c r="Q68" s="244"/>
      <c r="R68" s="244"/>
      <c r="S68" s="244"/>
      <c r="T68" s="244"/>
      <c r="U68" s="244"/>
      <c r="V68" s="244"/>
      <c r="W68" s="244"/>
    </row>
    <row r="69" spans="1:23" ht="11.25" customHeight="1" x14ac:dyDescent="0.2">
      <c r="A69" s="209" t="str">
        <f t="shared" si="16"/>
        <v>2.10 - Supply Chain Management</v>
      </c>
      <c r="B69" s="210"/>
      <c r="C69" s="78">
        <v>0</v>
      </c>
      <c r="D69" s="214">
        <v>0</v>
      </c>
      <c r="E69" s="214">
        <v>2300472</v>
      </c>
      <c r="F69" s="61">
        <v>2281224.7400000002</v>
      </c>
      <c r="G69" s="78">
        <v>2472225.7400000002</v>
      </c>
      <c r="H69" s="214">
        <v>2472225.7400000002</v>
      </c>
      <c r="I69" s="61">
        <v>2405731</v>
      </c>
      <c r="J69" s="78">
        <v>2569944</v>
      </c>
      <c r="K69" s="214">
        <v>2745392</v>
      </c>
      <c r="L69" s="243"/>
      <c r="M69" s="244"/>
      <c r="N69" s="244"/>
      <c r="O69" s="244"/>
      <c r="P69" s="244"/>
      <c r="Q69" s="244"/>
      <c r="R69" s="244"/>
      <c r="S69" s="244"/>
      <c r="T69" s="244"/>
      <c r="U69" s="244"/>
      <c r="V69" s="244"/>
      <c r="W69" s="244"/>
    </row>
    <row r="70" spans="1:23" ht="15" customHeight="1" x14ac:dyDescent="0.2">
      <c r="A70" s="204" t="str">
        <f t="shared" si="16"/>
        <v>Vote 3 - Internal Audit</v>
      </c>
      <c r="B70" s="205"/>
      <c r="C70" s="52">
        <f t="shared" ref="C70:K70" si="19">SUM(C71:C71)</f>
        <v>0</v>
      </c>
      <c r="D70" s="52">
        <f t="shared" si="19"/>
        <v>0</v>
      </c>
      <c r="E70" s="206">
        <f t="shared" si="19"/>
        <v>1627305</v>
      </c>
      <c r="F70" s="207">
        <f t="shared" si="19"/>
        <v>1938939.02</v>
      </c>
      <c r="G70" s="52">
        <f t="shared" si="19"/>
        <v>2466953.02</v>
      </c>
      <c r="H70" s="208">
        <f t="shared" si="19"/>
        <v>2466953.02</v>
      </c>
      <c r="I70" s="51">
        <f t="shared" si="19"/>
        <v>2626731</v>
      </c>
      <c r="J70" s="52">
        <f t="shared" si="19"/>
        <v>2792493</v>
      </c>
      <c r="K70" s="206">
        <f t="shared" si="19"/>
        <v>2968857</v>
      </c>
      <c r="L70" s="243"/>
      <c r="M70" s="244"/>
      <c r="N70" s="244"/>
      <c r="O70" s="244"/>
      <c r="P70" s="244"/>
      <c r="Q70" s="244"/>
      <c r="R70" s="244"/>
      <c r="S70" s="244"/>
      <c r="T70" s="244"/>
      <c r="U70" s="244"/>
      <c r="V70" s="244"/>
      <c r="W70" s="244"/>
    </row>
    <row r="71" spans="1:23" ht="11.25" customHeight="1" x14ac:dyDescent="0.2">
      <c r="A71" s="209" t="str">
        <f t="shared" si="16"/>
        <v>3,1 - Governance Function</v>
      </c>
      <c r="B71" s="210"/>
      <c r="C71" s="78">
        <v>0</v>
      </c>
      <c r="D71" s="78">
        <v>0</v>
      </c>
      <c r="E71" s="214">
        <v>1627305</v>
      </c>
      <c r="F71" s="61">
        <v>1938939.02</v>
      </c>
      <c r="G71" s="78">
        <v>2466953.02</v>
      </c>
      <c r="H71" s="214">
        <v>2466953.02</v>
      </c>
      <c r="I71" s="61">
        <v>2626731</v>
      </c>
      <c r="J71" s="78">
        <v>2792493</v>
      </c>
      <c r="K71" s="214">
        <v>2968857</v>
      </c>
      <c r="L71" s="243"/>
      <c r="M71" s="244"/>
      <c r="N71" s="244"/>
      <c r="O71" s="244"/>
      <c r="P71" s="244"/>
      <c r="Q71" s="244"/>
      <c r="R71" s="244"/>
      <c r="S71" s="244"/>
      <c r="T71" s="244"/>
      <c r="U71" s="244"/>
      <c r="V71" s="244"/>
      <c r="W71" s="244"/>
    </row>
    <row r="72" spans="1:23" ht="15" customHeight="1" x14ac:dyDescent="0.2">
      <c r="A72" s="204" t="str">
        <f t="shared" si="16"/>
        <v>Vote 4 - Community and Public Safety</v>
      </c>
      <c r="B72" s="205"/>
      <c r="C72" s="52">
        <f t="shared" ref="C72:K72" si="20">SUM(C73:C76)</f>
        <v>2389933</v>
      </c>
      <c r="D72" s="52">
        <f t="shared" si="20"/>
        <v>3405469.5799999996</v>
      </c>
      <c r="E72" s="206">
        <f t="shared" si="20"/>
        <v>3691577</v>
      </c>
      <c r="F72" s="207">
        <f t="shared" si="20"/>
        <v>4334295.18</v>
      </c>
      <c r="G72" s="52">
        <f t="shared" si="20"/>
        <v>5016218.18</v>
      </c>
      <c r="H72" s="208">
        <f t="shared" si="20"/>
        <v>5016218.18</v>
      </c>
      <c r="I72" s="51">
        <f t="shared" si="20"/>
        <v>10102909</v>
      </c>
      <c r="J72" s="52">
        <f t="shared" si="20"/>
        <v>6712339</v>
      </c>
      <c r="K72" s="206">
        <f t="shared" si="20"/>
        <v>7359085</v>
      </c>
      <c r="L72" s="243"/>
      <c r="M72" s="244"/>
      <c r="N72" s="244"/>
      <c r="O72" s="244"/>
      <c r="P72" s="244"/>
      <c r="Q72" s="244"/>
      <c r="R72" s="244"/>
      <c r="S72" s="244"/>
      <c r="T72" s="244"/>
      <c r="U72" s="244"/>
      <c r="V72" s="244"/>
      <c r="W72" s="244"/>
    </row>
    <row r="73" spans="1:23" ht="11.25" customHeight="1" x14ac:dyDescent="0.2">
      <c r="A73" s="209" t="str">
        <f t="shared" si="16"/>
        <v>4,1 - Cemetries and crematoriums</v>
      </c>
      <c r="B73" s="210"/>
      <c r="C73" s="78">
        <v>220294</v>
      </c>
      <c r="D73" s="78">
        <v>242251.59000000003</v>
      </c>
      <c r="E73" s="214">
        <v>245534</v>
      </c>
      <c r="F73" s="61">
        <v>257880.39</v>
      </c>
      <c r="G73" s="78">
        <v>256562.39</v>
      </c>
      <c r="H73" s="214">
        <v>256562.39</v>
      </c>
      <c r="I73" s="61">
        <v>290922</v>
      </c>
      <c r="J73" s="78">
        <v>310114</v>
      </c>
      <c r="K73" s="214">
        <v>330583</v>
      </c>
      <c r="L73" s="243"/>
      <c r="M73" s="244"/>
      <c r="N73" s="244"/>
      <c r="O73" s="244"/>
      <c r="P73" s="244"/>
      <c r="Q73" s="244"/>
      <c r="R73" s="244"/>
      <c r="S73" s="244"/>
      <c r="T73" s="244"/>
      <c r="U73" s="244"/>
      <c r="V73" s="244"/>
      <c r="W73" s="244"/>
    </row>
    <row r="74" spans="1:23" ht="11.25" customHeight="1" x14ac:dyDescent="0.2">
      <c r="A74" s="209" t="str">
        <f t="shared" si="16"/>
        <v>4,2 - Community halls and Facilities</v>
      </c>
      <c r="B74" s="210"/>
      <c r="C74" s="78">
        <v>291784</v>
      </c>
      <c r="D74" s="78">
        <v>154214.69</v>
      </c>
      <c r="E74" s="214">
        <v>717075</v>
      </c>
      <c r="F74" s="61">
        <v>1484481.45</v>
      </c>
      <c r="G74" s="78">
        <v>1502801.45</v>
      </c>
      <c r="H74" s="214">
        <v>1502801.45</v>
      </c>
      <c r="I74" s="61">
        <v>5551246</v>
      </c>
      <c r="J74" s="78">
        <v>1862282</v>
      </c>
      <c r="K74" s="214">
        <v>2190892</v>
      </c>
      <c r="L74" s="243"/>
      <c r="M74" s="244"/>
      <c r="N74" s="244"/>
      <c r="O74" s="244"/>
      <c r="P74" s="244"/>
      <c r="Q74" s="244"/>
      <c r="R74" s="244"/>
      <c r="S74" s="244"/>
      <c r="T74" s="244"/>
      <c r="U74" s="244"/>
      <c r="V74" s="244"/>
      <c r="W74" s="244"/>
    </row>
    <row r="75" spans="1:23" ht="11.25" customHeight="1" x14ac:dyDescent="0.2">
      <c r="A75" s="209" t="str">
        <f t="shared" si="16"/>
        <v>4,3 - Disaster Management</v>
      </c>
      <c r="B75" s="210"/>
      <c r="C75" s="78">
        <v>575349</v>
      </c>
      <c r="D75" s="78">
        <v>1422866.6999999997</v>
      </c>
      <c r="E75" s="214">
        <v>1235173</v>
      </c>
      <c r="F75" s="61">
        <v>1038276.39</v>
      </c>
      <c r="G75" s="78">
        <v>1147517.3900000001</v>
      </c>
      <c r="H75" s="214">
        <v>1147517.3900000001</v>
      </c>
      <c r="I75" s="61">
        <v>1755688</v>
      </c>
      <c r="J75" s="78">
        <v>1868331</v>
      </c>
      <c r="K75" s="214">
        <v>1988287</v>
      </c>
      <c r="L75" s="243"/>
      <c r="M75" s="244"/>
      <c r="N75" s="244"/>
      <c r="O75" s="244"/>
      <c r="P75" s="244"/>
      <c r="Q75" s="244"/>
      <c r="R75" s="244"/>
      <c r="S75" s="244"/>
      <c r="T75" s="244"/>
      <c r="U75" s="244"/>
      <c r="V75" s="244"/>
      <c r="W75" s="244"/>
    </row>
    <row r="76" spans="1:23" ht="11.25" customHeight="1" x14ac:dyDescent="0.2">
      <c r="A76" s="209" t="str">
        <f t="shared" si="16"/>
        <v>4,4 - Libraries and Archives</v>
      </c>
      <c r="B76" s="210"/>
      <c r="C76" s="78">
        <v>1302506</v>
      </c>
      <c r="D76" s="78">
        <v>1586136.5999999999</v>
      </c>
      <c r="E76" s="214">
        <v>1493795</v>
      </c>
      <c r="F76" s="61">
        <v>1553656.95</v>
      </c>
      <c r="G76" s="78">
        <v>2109336.9500000002</v>
      </c>
      <c r="H76" s="214">
        <v>2109336.9500000002</v>
      </c>
      <c r="I76" s="61">
        <v>2505053</v>
      </c>
      <c r="J76" s="78">
        <v>2671612</v>
      </c>
      <c r="K76" s="214">
        <v>2849323</v>
      </c>
      <c r="L76" s="243"/>
      <c r="M76" s="244"/>
      <c r="N76" s="244"/>
      <c r="O76" s="244"/>
      <c r="P76" s="244"/>
      <c r="Q76" s="244"/>
      <c r="R76" s="244"/>
      <c r="S76" s="244"/>
      <c r="T76" s="244"/>
      <c r="U76" s="244"/>
      <c r="V76" s="244"/>
      <c r="W76" s="244"/>
    </row>
    <row r="77" spans="1:23" ht="15" customHeight="1" x14ac:dyDescent="0.2">
      <c r="A77" s="204" t="str">
        <f t="shared" si="16"/>
        <v>Vote 5 - Sports and Recreation</v>
      </c>
      <c r="B77" s="205"/>
      <c r="C77" s="52">
        <f t="shared" ref="C77:K77" si="21">SUM(C78:C78)</f>
        <v>8915763</v>
      </c>
      <c r="D77" s="52">
        <f t="shared" si="21"/>
        <v>8657839.6999999993</v>
      </c>
      <c r="E77" s="206">
        <f t="shared" si="21"/>
        <v>7707414</v>
      </c>
      <c r="F77" s="207">
        <f t="shared" si="21"/>
        <v>7690965.4299999997</v>
      </c>
      <c r="G77" s="52">
        <f t="shared" si="21"/>
        <v>12329928.43</v>
      </c>
      <c r="H77" s="208">
        <f t="shared" si="21"/>
        <v>12329928.43</v>
      </c>
      <c r="I77" s="51">
        <f t="shared" si="21"/>
        <v>15182096</v>
      </c>
      <c r="J77" s="52">
        <f t="shared" si="21"/>
        <v>16321355</v>
      </c>
      <c r="K77" s="206">
        <f t="shared" si="21"/>
        <v>17399646</v>
      </c>
      <c r="L77" s="243"/>
      <c r="M77" s="244"/>
      <c r="N77" s="244"/>
      <c r="O77" s="244"/>
      <c r="P77" s="244"/>
      <c r="Q77" s="244"/>
      <c r="R77" s="244"/>
      <c r="S77" s="244"/>
      <c r="T77" s="244"/>
      <c r="U77" s="244"/>
      <c r="V77" s="244"/>
      <c r="W77" s="244"/>
    </row>
    <row r="78" spans="1:23" ht="11.25" customHeight="1" x14ac:dyDescent="0.2">
      <c r="A78" s="209" t="str">
        <f t="shared" si="16"/>
        <v>5,1 - Community parks</v>
      </c>
      <c r="B78" s="210"/>
      <c r="C78" s="78">
        <v>8915763</v>
      </c>
      <c r="D78" s="78">
        <v>8657839.6999999993</v>
      </c>
      <c r="E78" s="214">
        <v>7707414</v>
      </c>
      <c r="F78" s="61">
        <v>7690965.4299999997</v>
      </c>
      <c r="G78" s="78">
        <v>12329928.43</v>
      </c>
      <c r="H78" s="78">
        <v>12329928.43</v>
      </c>
      <c r="I78" s="61">
        <v>15182096</v>
      </c>
      <c r="J78" s="78">
        <v>16321355</v>
      </c>
      <c r="K78" s="214">
        <v>17399646</v>
      </c>
      <c r="L78" s="243"/>
      <c r="M78" s="244"/>
      <c r="N78" s="244"/>
      <c r="O78" s="244"/>
      <c r="P78" s="244"/>
      <c r="Q78" s="244"/>
      <c r="R78" s="244"/>
      <c r="S78" s="244"/>
      <c r="T78" s="244"/>
      <c r="U78" s="244"/>
      <c r="V78" s="244"/>
      <c r="W78" s="244"/>
    </row>
    <row r="79" spans="1:23" ht="15" customHeight="1" x14ac:dyDescent="0.2">
      <c r="A79" s="204" t="str">
        <f t="shared" si="16"/>
        <v>Vote 6 - Housing</v>
      </c>
      <c r="B79" s="205"/>
      <c r="C79" s="52">
        <f t="shared" ref="C79:K79" si="22">SUM(C80:C80)</f>
        <v>589539</v>
      </c>
      <c r="D79" s="52">
        <f t="shared" si="22"/>
        <v>652615.30000000005</v>
      </c>
      <c r="E79" s="206">
        <f t="shared" si="22"/>
        <v>691259</v>
      </c>
      <c r="F79" s="207">
        <f t="shared" si="22"/>
        <v>727499.11</v>
      </c>
      <c r="G79" s="52">
        <f t="shared" si="22"/>
        <v>727499.11</v>
      </c>
      <c r="H79" s="208">
        <f t="shared" si="22"/>
        <v>727499.11</v>
      </c>
      <c r="I79" s="51">
        <f t="shared" si="22"/>
        <v>776788</v>
      </c>
      <c r="J79" s="52">
        <f t="shared" si="22"/>
        <v>830087</v>
      </c>
      <c r="K79" s="206">
        <f t="shared" si="22"/>
        <v>887048</v>
      </c>
      <c r="L79" s="243"/>
      <c r="M79" s="244"/>
      <c r="N79" s="244"/>
      <c r="O79" s="244"/>
      <c r="P79" s="244"/>
      <c r="Q79" s="244"/>
      <c r="R79" s="244"/>
      <c r="S79" s="244"/>
      <c r="T79" s="244"/>
      <c r="U79" s="244"/>
      <c r="V79" s="244"/>
      <c r="W79" s="244"/>
    </row>
    <row r="80" spans="1:23" ht="11.25" customHeight="1" x14ac:dyDescent="0.2">
      <c r="A80" s="209" t="str">
        <f t="shared" si="16"/>
        <v>6,1 - Housing</v>
      </c>
      <c r="B80" s="210"/>
      <c r="C80" s="78">
        <v>589539</v>
      </c>
      <c r="D80" s="78">
        <v>652615.30000000005</v>
      </c>
      <c r="E80" s="214">
        <v>691259</v>
      </c>
      <c r="F80" s="78">
        <v>727499.11</v>
      </c>
      <c r="G80" s="78">
        <v>727499.11</v>
      </c>
      <c r="H80" s="78">
        <v>727499.11</v>
      </c>
      <c r="I80" s="61">
        <v>776788</v>
      </c>
      <c r="J80" s="78">
        <v>830087</v>
      </c>
      <c r="K80" s="214">
        <v>887048</v>
      </c>
      <c r="L80" s="243"/>
      <c r="M80" s="244"/>
      <c r="N80" s="244"/>
      <c r="O80" s="244"/>
      <c r="P80" s="244"/>
      <c r="Q80" s="244"/>
      <c r="R80" s="244"/>
      <c r="S80" s="244"/>
      <c r="T80" s="244"/>
      <c r="U80" s="244"/>
      <c r="V80" s="244"/>
      <c r="W80" s="244"/>
    </row>
    <row r="81" spans="1:23" ht="15" customHeight="1" x14ac:dyDescent="0.2">
      <c r="A81" s="204" t="str">
        <f t="shared" si="16"/>
        <v xml:space="preserve">Vote 7 - Planning and development </v>
      </c>
      <c r="B81" s="205"/>
      <c r="C81" s="52">
        <f t="shared" ref="C81:K81" si="23">SUM(C82:C84)</f>
        <v>7322236</v>
      </c>
      <c r="D81" s="52">
        <f t="shared" si="23"/>
        <v>9481093.040000001</v>
      </c>
      <c r="E81" s="206">
        <f t="shared" si="23"/>
        <v>8030087</v>
      </c>
      <c r="F81" s="207">
        <f t="shared" si="23"/>
        <v>13504109.48</v>
      </c>
      <c r="G81" s="52">
        <f t="shared" si="23"/>
        <v>11586550.48</v>
      </c>
      <c r="H81" s="208">
        <f t="shared" si="23"/>
        <v>11586550.48</v>
      </c>
      <c r="I81" s="51">
        <f t="shared" si="23"/>
        <v>23542563</v>
      </c>
      <c r="J81" s="52">
        <f t="shared" si="23"/>
        <v>16226548</v>
      </c>
      <c r="K81" s="206">
        <f t="shared" si="23"/>
        <v>17220675</v>
      </c>
      <c r="L81" s="243"/>
      <c r="M81" s="244"/>
      <c r="N81" s="244"/>
      <c r="O81" s="244"/>
      <c r="P81" s="244"/>
      <c r="Q81" s="244"/>
      <c r="R81" s="244"/>
      <c r="S81" s="244"/>
      <c r="T81" s="244"/>
      <c r="U81" s="244"/>
      <c r="V81" s="244"/>
      <c r="W81" s="244"/>
    </row>
    <row r="82" spans="1:23" ht="11.25" customHeight="1" x14ac:dyDescent="0.2">
      <c r="A82" s="209" t="str">
        <f t="shared" si="16"/>
        <v>7,1 - Corporate Wide Strategic Planning (IDP &amp; LED)</v>
      </c>
      <c r="B82" s="210"/>
      <c r="C82" s="78">
        <v>7322236</v>
      </c>
      <c r="D82" s="78">
        <v>9481093.040000001</v>
      </c>
      <c r="E82" s="214">
        <v>4588968</v>
      </c>
      <c r="F82" s="61">
        <v>8839649.2400000002</v>
      </c>
      <c r="G82" s="78">
        <v>5621308.2400000002</v>
      </c>
      <c r="H82" s="78">
        <v>5621308.2400000002</v>
      </c>
      <c r="I82" s="61">
        <v>8744481</v>
      </c>
      <c r="J82" s="78">
        <v>5367427</v>
      </c>
      <c r="K82" s="214">
        <v>5657206</v>
      </c>
      <c r="L82" s="243"/>
      <c r="M82" s="244"/>
      <c r="N82" s="244"/>
      <c r="O82" s="244"/>
      <c r="P82" s="244"/>
      <c r="Q82" s="244"/>
      <c r="R82" s="244"/>
      <c r="S82" s="244"/>
      <c r="T82" s="244"/>
      <c r="U82" s="244"/>
      <c r="V82" s="244"/>
      <c r="W82" s="244"/>
    </row>
    <row r="83" spans="1:23" ht="11.25" customHeight="1" x14ac:dyDescent="0.2">
      <c r="A83" s="209" t="str">
        <f t="shared" si="16"/>
        <v>7,2 - Town Planning and Building Regulations</v>
      </c>
      <c r="B83" s="210"/>
      <c r="C83" s="78">
        <v>0</v>
      </c>
      <c r="D83" s="78">
        <v>0</v>
      </c>
      <c r="E83" s="214">
        <v>1729270</v>
      </c>
      <c r="F83" s="61">
        <v>2141460.2400000002</v>
      </c>
      <c r="G83" s="78">
        <v>3176345.24</v>
      </c>
      <c r="H83" s="78">
        <v>3176345.24</v>
      </c>
      <c r="I83" s="61">
        <v>11285035</v>
      </c>
      <c r="J83" s="78">
        <v>7111135</v>
      </c>
      <c r="K83" s="214">
        <v>7564736</v>
      </c>
      <c r="L83" s="243"/>
      <c r="M83" s="244"/>
      <c r="N83" s="244"/>
      <c r="O83" s="244"/>
      <c r="P83" s="244"/>
      <c r="Q83" s="244"/>
      <c r="R83" s="244"/>
      <c r="S83" s="244"/>
      <c r="T83" s="244"/>
      <c r="U83" s="244"/>
      <c r="V83" s="244"/>
      <c r="W83" s="244"/>
    </row>
    <row r="84" spans="1:23" ht="10.95" customHeight="1" x14ac:dyDescent="0.2">
      <c r="A84" s="209" t="str">
        <f t="shared" si="16"/>
        <v>7,3 - Project Management Unit</v>
      </c>
      <c r="B84" s="210"/>
      <c r="C84" s="78">
        <v>0</v>
      </c>
      <c r="D84" s="78">
        <v>0</v>
      </c>
      <c r="E84" s="214">
        <v>1711849</v>
      </c>
      <c r="F84" s="78">
        <v>2523000</v>
      </c>
      <c r="G84" s="78">
        <v>2788897</v>
      </c>
      <c r="H84" s="78">
        <v>2788897</v>
      </c>
      <c r="I84" s="61">
        <v>3513047</v>
      </c>
      <c r="J84" s="78">
        <v>3747986</v>
      </c>
      <c r="K84" s="214">
        <v>3998733</v>
      </c>
      <c r="L84" s="243"/>
      <c r="M84" s="244"/>
      <c r="N84" s="244"/>
      <c r="O84" s="244"/>
      <c r="P84" s="244"/>
      <c r="Q84" s="244"/>
      <c r="R84" s="244"/>
      <c r="S84" s="244"/>
      <c r="T84" s="244"/>
      <c r="U84" s="244"/>
      <c r="V84" s="244"/>
      <c r="W84" s="244"/>
    </row>
    <row r="85" spans="1:23" ht="15" customHeight="1" x14ac:dyDescent="0.2">
      <c r="A85" s="204" t="str">
        <f t="shared" si="16"/>
        <v>Vote 8 - Road Transport</v>
      </c>
      <c r="B85" s="210"/>
      <c r="C85" s="52">
        <f t="shared" ref="C85:K85" si="24">SUM(C86:C88)</f>
        <v>24546023</v>
      </c>
      <c r="D85" s="52">
        <f t="shared" si="24"/>
        <v>36934146.479999997</v>
      </c>
      <c r="E85" s="206">
        <f t="shared" si="24"/>
        <v>48786919</v>
      </c>
      <c r="F85" s="207">
        <f t="shared" si="24"/>
        <v>34877675.260000005</v>
      </c>
      <c r="G85" s="52">
        <f t="shared" si="24"/>
        <v>53831379.260000005</v>
      </c>
      <c r="H85" s="208">
        <f t="shared" si="24"/>
        <v>53831379.260000005</v>
      </c>
      <c r="I85" s="51">
        <f t="shared" si="24"/>
        <v>54020389</v>
      </c>
      <c r="J85" s="52">
        <f t="shared" si="24"/>
        <v>57289076</v>
      </c>
      <c r="K85" s="206">
        <f t="shared" si="24"/>
        <v>60758546</v>
      </c>
      <c r="L85" s="243"/>
      <c r="M85" s="244"/>
      <c r="N85" s="244"/>
      <c r="O85" s="244"/>
      <c r="P85" s="244"/>
      <c r="Q85" s="244"/>
      <c r="R85" s="244"/>
      <c r="S85" s="244"/>
      <c r="T85" s="244"/>
      <c r="U85" s="244"/>
      <c r="V85" s="244"/>
      <c r="W85" s="244"/>
    </row>
    <row r="86" spans="1:23" ht="11.25" customHeight="1" x14ac:dyDescent="0.2">
      <c r="A86" s="209" t="str">
        <f t="shared" si="16"/>
        <v>8,1 - Road and Traffic Regulations</v>
      </c>
      <c r="B86" s="210"/>
      <c r="C86" s="78">
        <v>12211016</v>
      </c>
      <c r="D86" s="78">
        <v>13777566.510000004</v>
      </c>
      <c r="E86" s="214">
        <v>21084957</v>
      </c>
      <c r="F86" s="61">
        <v>15612924.710000001</v>
      </c>
      <c r="G86" s="78">
        <v>25736712.710000001</v>
      </c>
      <c r="H86" s="78">
        <v>25736712.710000001</v>
      </c>
      <c r="I86" s="61">
        <v>27957361</v>
      </c>
      <c r="J86" s="78">
        <v>29713092</v>
      </c>
      <c r="K86" s="214">
        <v>31580617</v>
      </c>
      <c r="L86" s="243"/>
      <c r="M86" s="244"/>
      <c r="N86" s="244"/>
      <c r="O86" s="244"/>
      <c r="P86" s="244"/>
      <c r="Q86" s="244"/>
      <c r="R86" s="244"/>
      <c r="S86" s="244"/>
      <c r="T86" s="244"/>
      <c r="U86" s="244"/>
      <c r="V86" s="244"/>
      <c r="W86" s="244"/>
    </row>
    <row r="87" spans="1:23" ht="11.25" customHeight="1" x14ac:dyDescent="0.2">
      <c r="A87" s="209" t="str">
        <f t="shared" si="16"/>
        <v>8,2 - Roads</v>
      </c>
      <c r="B87" s="210"/>
      <c r="C87" s="78">
        <v>12125911</v>
      </c>
      <c r="D87" s="214">
        <v>22968498.499999996</v>
      </c>
      <c r="E87" s="78">
        <v>27474665</v>
      </c>
      <c r="F87" s="78">
        <v>19031539.850000001</v>
      </c>
      <c r="G87" s="78">
        <v>27622170.850000001</v>
      </c>
      <c r="H87" s="78">
        <v>27622170.850000001</v>
      </c>
      <c r="I87" s="61">
        <v>25801551</v>
      </c>
      <c r="J87" s="78">
        <v>27296606</v>
      </c>
      <c r="K87" s="214">
        <v>28879423</v>
      </c>
      <c r="L87" s="243"/>
      <c r="M87" s="244"/>
      <c r="N87" s="244"/>
      <c r="O87" s="244"/>
      <c r="P87" s="244"/>
      <c r="Q87" s="244"/>
      <c r="R87" s="244"/>
      <c r="S87" s="244"/>
      <c r="T87" s="244"/>
      <c r="U87" s="244"/>
      <c r="V87" s="244"/>
      <c r="W87" s="244"/>
    </row>
    <row r="88" spans="1:23" ht="11.25" customHeight="1" x14ac:dyDescent="0.2">
      <c r="A88" s="209" t="str">
        <f t="shared" si="16"/>
        <v>8,3 - Taxi Ranks</v>
      </c>
      <c r="B88" s="210"/>
      <c r="C88" s="78">
        <v>209096</v>
      </c>
      <c r="D88" s="214">
        <v>188081.46999999997</v>
      </c>
      <c r="E88" s="78">
        <v>227297</v>
      </c>
      <c r="F88" s="78">
        <v>233210.7</v>
      </c>
      <c r="G88" s="78">
        <v>472495.7</v>
      </c>
      <c r="H88" s="78">
        <v>472495.7</v>
      </c>
      <c r="I88" s="61">
        <v>261477</v>
      </c>
      <c r="J88" s="78">
        <v>279378</v>
      </c>
      <c r="K88" s="214">
        <v>298506</v>
      </c>
      <c r="L88" s="243"/>
      <c r="M88" s="244"/>
      <c r="N88" s="244"/>
      <c r="O88" s="244"/>
      <c r="P88" s="244"/>
      <c r="Q88" s="244"/>
      <c r="R88" s="244"/>
      <c r="S88" s="244"/>
      <c r="T88" s="244"/>
      <c r="U88" s="244"/>
      <c r="V88" s="244"/>
      <c r="W88" s="244"/>
    </row>
    <row r="89" spans="1:23" ht="15" customHeight="1" x14ac:dyDescent="0.2">
      <c r="A89" s="204" t="str">
        <f t="shared" si="16"/>
        <v>Vote 9 - Energy Sources</v>
      </c>
      <c r="B89" s="210"/>
      <c r="C89" s="52">
        <f t="shared" ref="C89:K89" si="25">SUM(C90:C91)</f>
        <v>14364689</v>
      </c>
      <c r="D89" s="52">
        <f t="shared" si="25"/>
        <v>22833616.450000018</v>
      </c>
      <c r="E89" s="206">
        <f t="shared" si="25"/>
        <v>25833507</v>
      </c>
      <c r="F89" s="207">
        <f t="shared" si="25"/>
        <v>32487354.719999999</v>
      </c>
      <c r="G89" s="52">
        <f t="shared" si="25"/>
        <v>40450161.719999999</v>
      </c>
      <c r="H89" s="208">
        <f t="shared" si="25"/>
        <v>40450161.719999999</v>
      </c>
      <c r="I89" s="51">
        <f t="shared" si="25"/>
        <v>42686645</v>
      </c>
      <c r="J89" s="52">
        <f t="shared" si="25"/>
        <v>40832094</v>
      </c>
      <c r="K89" s="206">
        <f t="shared" si="25"/>
        <v>43108554</v>
      </c>
      <c r="L89" s="243"/>
      <c r="M89" s="244"/>
      <c r="N89" s="244"/>
      <c r="O89" s="244"/>
      <c r="P89" s="244"/>
      <c r="Q89" s="244"/>
      <c r="R89" s="244"/>
      <c r="S89" s="244"/>
      <c r="T89" s="244"/>
      <c r="U89" s="244"/>
      <c r="V89" s="244"/>
      <c r="W89" s="244"/>
    </row>
    <row r="90" spans="1:23" ht="11.25" customHeight="1" x14ac:dyDescent="0.2">
      <c r="A90" s="209" t="str">
        <f t="shared" si="16"/>
        <v>9,1 - Electricity</v>
      </c>
      <c r="B90" s="210"/>
      <c r="C90" s="78">
        <v>12834539</v>
      </c>
      <c r="D90" s="78">
        <v>20169464.040000018</v>
      </c>
      <c r="E90" s="214">
        <v>22594332</v>
      </c>
      <c r="F90" s="61">
        <v>24676142.140000001</v>
      </c>
      <c r="G90" s="78">
        <v>34438473.140000001</v>
      </c>
      <c r="H90" s="78">
        <v>34438473.140000001</v>
      </c>
      <c r="I90" s="61">
        <v>32862349</v>
      </c>
      <c r="J90" s="78">
        <v>34166286</v>
      </c>
      <c r="K90" s="214">
        <v>36082793</v>
      </c>
      <c r="L90" s="243"/>
      <c r="M90" s="244"/>
      <c r="N90" s="244"/>
      <c r="O90" s="244"/>
      <c r="P90" s="244"/>
      <c r="Q90" s="244"/>
      <c r="R90" s="244"/>
      <c r="S90" s="244"/>
      <c r="T90" s="244"/>
      <c r="U90" s="244"/>
      <c r="V90" s="244"/>
      <c r="W90" s="244"/>
    </row>
    <row r="91" spans="1:23" ht="11.25" customHeight="1" x14ac:dyDescent="0.2">
      <c r="A91" s="209" t="str">
        <f t="shared" si="16"/>
        <v>9,2 - Street Lighting</v>
      </c>
      <c r="B91" s="210"/>
      <c r="C91" s="78">
        <v>1530150</v>
      </c>
      <c r="D91" s="78">
        <v>2664152.4099999997</v>
      </c>
      <c r="E91" s="214">
        <v>3239175</v>
      </c>
      <c r="F91" s="61">
        <v>7811212.5800000001</v>
      </c>
      <c r="G91" s="78">
        <v>6011688.5800000001</v>
      </c>
      <c r="H91" s="78">
        <v>6011688.5800000001</v>
      </c>
      <c r="I91" s="61">
        <v>9824296</v>
      </c>
      <c r="J91" s="78">
        <v>6665808</v>
      </c>
      <c r="K91" s="214">
        <v>7025761</v>
      </c>
      <c r="L91" s="243"/>
      <c r="M91" s="244"/>
      <c r="N91" s="244"/>
      <c r="O91" s="244"/>
      <c r="P91" s="244"/>
      <c r="Q91" s="244"/>
      <c r="R91" s="244"/>
      <c r="S91" s="244"/>
      <c r="T91" s="244"/>
      <c r="U91" s="244"/>
      <c r="V91" s="244"/>
      <c r="W91" s="244"/>
    </row>
    <row r="92" spans="1:23" ht="15" customHeight="1" x14ac:dyDescent="0.2">
      <c r="A92" s="204" t="str">
        <f t="shared" si="16"/>
        <v>Vote 10 - Waste Water Management</v>
      </c>
      <c r="B92" s="210"/>
      <c r="C92" s="52">
        <f t="shared" ref="C92:K92" si="26">SUM(C93:C93)</f>
        <v>645353</v>
      </c>
      <c r="D92" s="52">
        <f t="shared" si="26"/>
        <v>603338.95000000007</v>
      </c>
      <c r="E92" s="206">
        <f t="shared" si="26"/>
        <v>636076</v>
      </c>
      <c r="F92" s="207">
        <f t="shared" si="26"/>
        <v>686133</v>
      </c>
      <c r="G92" s="52">
        <f t="shared" si="26"/>
        <v>700457</v>
      </c>
      <c r="H92" s="208">
        <f t="shared" si="26"/>
        <v>700457</v>
      </c>
      <c r="I92" s="51">
        <f t="shared" si="26"/>
        <v>751605</v>
      </c>
      <c r="J92" s="52">
        <f t="shared" si="26"/>
        <v>802836</v>
      </c>
      <c r="K92" s="206">
        <f t="shared" si="26"/>
        <v>857569</v>
      </c>
      <c r="L92" s="243"/>
      <c r="M92" s="244"/>
      <c r="N92" s="244"/>
      <c r="O92" s="244"/>
      <c r="P92" s="244"/>
      <c r="Q92" s="244"/>
      <c r="R92" s="244"/>
      <c r="S92" s="244"/>
      <c r="T92" s="244"/>
      <c r="U92" s="244"/>
      <c r="V92" s="244"/>
      <c r="W92" s="244"/>
    </row>
    <row r="93" spans="1:23" ht="11.25" customHeight="1" x14ac:dyDescent="0.2">
      <c r="A93" s="209" t="str">
        <f t="shared" si="16"/>
        <v>10,1 - Public Toilets</v>
      </c>
      <c r="B93" s="210"/>
      <c r="C93" s="78">
        <v>645353</v>
      </c>
      <c r="D93" s="78">
        <v>603338.95000000007</v>
      </c>
      <c r="E93" s="214">
        <v>636076</v>
      </c>
      <c r="F93" s="61">
        <v>686133</v>
      </c>
      <c r="G93" s="78">
        <v>700457</v>
      </c>
      <c r="H93" s="78">
        <v>700457</v>
      </c>
      <c r="I93" s="61">
        <v>751605</v>
      </c>
      <c r="J93" s="78">
        <v>802836</v>
      </c>
      <c r="K93" s="214">
        <v>857569</v>
      </c>
      <c r="L93" s="243"/>
      <c r="M93" s="244"/>
      <c r="N93" s="244"/>
      <c r="O93" s="244"/>
      <c r="P93" s="244"/>
      <c r="Q93" s="244"/>
      <c r="R93" s="244"/>
      <c r="S93" s="244"/>
      <c r="T93" s="244"/>
      <c r="U93" s="244"/>
      <c r="V93" s="244"/>
      <c r="W93" s="244"/>
    </row>
    <row r="94" spans="1:23" ht="15" customHeight="1" x14ac:dyDescent="0.2">
      <c r="A94" s="204" t="str">
        <f t="shared" si="16"/>
        <v>Vote 11 - Waste Management</v>
      </c>
      <c r="B94" s="210"/>
      <c r="C94" s="52">
        <f t="shared" ref="C94:K94" si="27">SUM(C95:C95)</f>
        <v>9858082</v>
      </c>
      <c r="D94" s="52">
        <f t="shared" si="27"/>
        <v>4356870.5899999989</v>
      </c>
      <c r="E94" s="206">
        <f t="shared" si="27"/>
        <v>4569162</v>
      </c>
      <c r="F94" s="207">
        <f t="shared" si="27"/>
        <v>4976098.47</v>
      </c>
      <c r="G94" s="52">
        <f t="shared" si="27"/>
        <v>5069603.47</v>
      </c>
      <c r="H94" s="208">
        <f t="shared" si="27"/>
        <v>5069603.47</v>
      </c>
      <c r="I94" s="51">
        <f t="shared" si="27"/>
        <v>5509316</v>
      </c>
      <c r="J94" s="52">
        <f t="shared" si="27"/>
        <v>5839885</v>
      </c>
      <c r="K94" s="206">
        <f t="shared" si="27"/>
        <v>6190587</v>
      </c>
      <c r="L94" s="243"/>
      <c r="M94" s="244"/>
      <c r="N94" s="244"/>
      <c r="O94" s="244"/>
      <c r="P94" s="244"/>
      <c r="Q94" s="244"/>
      <c r="R94" s="244"/>
      <c r="S94" s="244"/>
      <c r="T94" s="244"/>
      <c r="U94" s="244"/>
      <c r="V94" s="244"/>
      <c r="W94" s="244"/>
    </row>
    <row r="95" spans="1:23" ht="11.25" customHeight="1" x14ac:dyDescent="0.2">
      <c r="A95" s="209" t="str">
        <f t="shared" si="16"/>
        <v>11,1 - Solid Waste Removal</v>
      </c>
      <c r="B95" s="210"/>
      <c r="C95" s="78">
        <v>9858082</v>
      </c>
      <c r="D95" s="78">
        <v>4356870.5899999989</v>
      </c>
      <c r="E95" s="214">
        <v>4569162</v>
      </c>
      <c r="F95" s="61">
        <v>4976098.47</v>
      </c>
      <c r="G95" s="78">
        <v>5069603.47</v>
      </c>
      <c r="H95" s="78">
        <v>5069603.47</v>
      </c>
      <c r="I95" s="61">
        <v>5509316</v>
      </c>
      <c r="J95" s="78">
        <v>5839885</v>
      </c>
      <c r="K95" s="214">
        <v>6190587</v>
      </c>
      <c r="L95" s="243"/>
      <c r="M95" s="244"/>
      <c r="N95" s="244"/>
      <c r="O95" s="244"/>
      <c r="P95" s="244"/>
      <c r="Q95" s="244"/>
      <c r="R95" s="244"/>
      <c r="S95" s="244"/>
      <c r="T95" s="244"/>
      <c r="U95" s="244"/>
      <c r="V95" s="244"/>
      <c r="W95" s="244"/>
    </row>
    <row r="96" spans="1:23" ht="15" customHeight="1" x14ac:dyDescent="0.2">
      <c r="A96" s="204" t="str">
        <f t="shared" si="16"/>
        <v>Vote 12 - [NAME OF VOTE 12]</v>
      </c>
      <c r="B96" s="210"/>
      <c r="C96" s="52">
        <f t="shared" ref="C96:K96" si="28">SUM(C97:C97)</f>
        <v>0</v>
      </c>
      <c r="D96" s="52">
        <f t="shared" si="28"/>
        <v>0</v>
      </c>
      <c r="E96" s="206">
        <f t="shared" si="28"/>
        <v>0</v>
      </c>
      <c r="F96" s="207">
        <f t="shared" si="28"/>
        <v>0</v>
      </c>
      <c r="G96" s="52">
        <f t="shared" si="28"/>
        <v>0</v>
      </c>
      <c r="H96" s="208">
        <f t="shared" si="28"/>
        <v>0</v>
      </c>
      <c r="I96" s="51">
        <f t="shared" si="28"/>
        <v>0</v>
      </c>
      <c r="J96" s="52">
        <f t="shared" si="28"/>
        <v>0</v>
      </c>
      <c r="K96" s="206">
        <f t="shared" si="28"/>
        <v>0</v>
      </c>
      <c r="L96" s="243"/>
      <c r="M96" s="244"/>
      <c r="N96" s="244"/>
      <c r="O96" s="244"/>
      <c r="P96" s="244"/>
      <c r="Q96" s="244"/>
      <c r="R96" s="244"/>
      <c r="S96" s="244"/>
      <c r="T96" s="244"/>
      <c r="U96" s="244"/>
      <c r="V96" s="244"/>
      <c r="W96" s="244"/>
    </row>
    <row r="97" spans="1:23" ht="11.25" customHeight="1" x14ac:dyDescent="0.2">
      <c r="A97" s="209" t="str">
        <f t="shared" si="16"/>
        <v>12.1 - [Name of sub-vote]</v>
      </c>
      <c r="B97" s="210"/>
      <c r="C97" s="54"/>
      <c r="D97" s="54"/>
      <c r="E97" s="245"/>
      <c r="F97" s="246"/>
      <c r="G97" s="54"/>
      <c r="H97" s="247"/>
      <c r="I97" s="62"/>
      <c r="J97" s="54"/>
      <c r="K97" s="245"/>
      <c r="L97" s="243"/>
      <c r="M97" s="244"/>
      <c r="N97" s="244"/>
      <c r="O97" s="244"/>
      <c r="P97" s="244"/>
      <c r="Q97" s="244"/>
      <c r="R97" s="244"/>
      <c r="S97" s="244"/>
      <c r="T97" s="244"/>
      <c r="U97" s="244"/>
      <c r="V97" s="244"/>
      <c r="W97" s="244"/>
    </row>
    <row r="98" spans="1:23" ht="15" customHeight="1" x14ac:dyDescent="0.2">
      <c r="A98" s="204" t="str">
        <f t="shared" si="16"/>
        <v>Vote 13 - [NAME OF VOTE 13]</v>
      </c>
      <c r="B98" s="210"/>
      <c r="C98" s="52">
        <f t="shared" ref="C98:K98" si="29">SUM(C99:C99)</f>
        <v>0</v>
      </c>
      <c r="D98" s="52">
        <f t="shared" si="29"/>
        <v>0</v>
      </c>
      <c r="E98" s="206">
        <f t="shared" si="29"/>
        <v>0</v>
      </c>
      <c r="F98" s="207">
        <f t="shared" si="29"/>
        <v>0</v>
      </c>
      <c r="G98" s="52">
        <f t="shared" si="29"/>
        <v>0</v>
      </c>
      <c r="H98" s="208">
        <f t="shared" si="29"/>
        <v>0</v>
      </c>
      <c r="I98" s="51">
        <f t="shared" si="29"/>
        <v>0</v>
      </c>
      <c r="J98" s="52">
        <f t="shared" si="29"/>
        <v>0</v>
      </c>
      <c r="K98" s="206">
        <f t="shared" si="29"/>
        <v>0</v>
      </c>
      <c r="L98" s="243"/>
      <c r="M98" s="244"/>
      <c r="N98" s="244"/>
      <c r="O98" s="244"/>
      <c r="P98" s="244"/>
      <c r="Q98" s="244"/>
      <c r="R98" s="244"/>
      <c r="S98" s="244"/>
      <c r="T98" s="244"/>
      <c r="U98" s="244"/>
      <c r="V98" s="244"/>
      <c r="W98" s="244"/>
    </row>
    <row r="99" spans="1:23" ht="11.25" customHeight="1" x14ac:dyDescent="0.2">
      <c r="A99" s="209" t="str">
        <f t="shared" si="16"/>
        <v>13.1 - [Name of sub-vote]</v>
      </c>
      <c r="B99" s="210"/>
      <c r="C99" s="54"/>
      <c r="D99" s="54"/>
      <c r="E99" s="245"/>
      <c r="F99" s="246"/>
      <c r="G99" s="54"/>
      <c r="H99" s="247"/>
      <c r="I99" s="62"/>
      <c r="J99" s="54"/>
      <c r="K99" s="245"/>
      <c r="L99" s="243"/>
      <c r="M99" s="244"/>
      <c r="N99" s="244"/>
      <c r="O99" s="244"/>
      <c r="P99" s="244"/>
      <c r="Q99" s="244"/>
      <c r="R99" s="244"/>
      <c r="S99" s="244"/>
      <c r="T99" s="244"/>
      <c r="U99" s="244"/>
      <c r="V99" s="244"/>
      <c r="W99" s="244"/>
    </row>
    <row r="100" spans="1:23" ht="15" customHeight="1" x14ac:dyDescent="0.2">
      <c r="A100" s="204" t="str">
        <f t="shared" si="16"/>
        <v>Vote 14 - [NAME OF VOTE 14]</v>
      </c>
      <c r="B100" s="210"/>
      <c r="C100" s="52">
        <f t="shared" ref="C100:K100" si="30">SUM(C101:C101)</f>
        <v>0</v>
      </c>
      <c r="D100" s="52">
        <f t="shared" si="30"/>
        <v>0</v>
      </c>
      <c r="E100" s="206">
        <f t="shared" si="30"/>
        <v>0</v>
      </c>
      <c r="F100" s="207">
        <f t="shared" si="30"/>
        <v>0</v>
      </c>
      <c r="G100" s="52">
        <f t="shared" si="30"/>
        <v>0</v>
      </c>
      <c r="H100" s="208">
        <f t="shared" si="30"/>
        <v>0</v>
      </c>
      <c r="I100" s="51">
        <f t="shared" si="30"/>
        <v>0</v>
      </c>
      <c r="J100" s="52">
        <f t="shared" si="30"/>
        <v>0</v>
      </c>
      <c r="K100" s="206">
        <f t="shared" si="30"/>
        <v>0</v>
      </c>
      <c r="L100" s="243"/>
      <c r="M100" s="244"/>
      <c r="N100" s="244"/>
      <c r="O100" s="244"/>
      <c r="P100" s="244"/>
      <c r="Q100" s="244"/>
      <c r="R100" s="244"/>
      <c r="S100" s="244"/>
      <c r="T100" s="244"/>
      <c r="U100" s="244"/>
      <c r="V100" s="244"/>
      <c r="W100" s="244"/>
    </row>
    <row r="101" spans="1:23" ht="11.25" customHeight="1" x14ac:dyDescent="0.2">
      <c r="A101" s="209" t="str">
        <f t="shared" si="16"/>
        <v>14.1 - [Name of sub-vote]</v>
      </c>
      <c r="B101" s="210"/>
      <c r="C101" s="54"/>
      <c r="D101" s="54"/>
      <c r="E101" s="245"/>
      <c r="F101" s="246"/>
      <c r="G101" s="54"/>
      <c r="H101" s="247"/>
      <c r="I101" s="62"/>
      <c r="J101" s="54"/>
      <c r="K101" s="245"/>
      <c r="L101" s="243"/>
      <c r="M101" s="244"/>
      <c r="N101" s="244"/>
      <c r="O101" s="244"/>
      <c r="P101" s="244"/>
      <c r="Q101" s="244"/>
      <c r="R101" s="244"/>
      <c r="S101" s="244"/>
      <c r="T101" s="244"/>
      <c r="U101" s="244"/>
      <c r="V101" s="244"/>
      <c r="W101" s="244"/>
    </row>
    <row r="102" spans="1:23" ht="15" customHeight="1" x14ac:dyDescent="0.2">
      <c r="A102" s="204" t="str">
        <f t="shared" si="16"/>
        <v>Vote 15 - [NAME OF VOTE 15]</v>
      </c>
      <c r="B102" s="210"/>
      <c r="C102" s="52">
        <f t="shared" ref="C102:K102" si="31">SUM(C103:C103)</f>
        <v>0</v>
      </c>
      <c r="D102" s="52">
        <f t="shared" si="31"/>
        <v>0</v>
      </c>
      <c r="E102" s="206">
        <f t="shared" si="31"/>
        <v>0</v>
      </c>
      <c r="F102" s="207">
        <f t="shared" si="31"/>
        <v>0</v>
      </c>
      <c r="G102" s="52">
        <f t="shared" si="31"/>
        <v>0</v>
      </c>
      <c r="H102" s="208">
        <f t="shared" si="31"/>
        <v>0</v>
      </c>
      <c r="I102" s="51">
        <f t="shared" si="31"/>
        <v>0</v>
      </c>
      <c r="J102" s="52">
        <f t="shared" si="31"/>
        <v>0</v>
      </c>
      <c r="K102" s="206">
        <f t="shared" si="31"/>
        <v>0</v>
      </c>
      <c r="L102" s="243"/>
      <c r="M102" s="244"/>
      <c r="N102" s="244"/>
      <c r="O102" s="244"/>
      <c r="P102" s="244"/>
      <c r="Q102" s="244"/>
      <c r="R102" s="244"/>
      <c r="S102" s="244"/>
      <c r="T102" s="244"/>
      <c r="U102" s="244"/>
      <c r="V102" s="244"/>
      <c r="W102" s="244"/>
    </row>
    <row r="103" spans="1:23" ht="11.25" customHeight="1" x14ac:dyDescent="0.2">
      <c r="A103" s="209" t="str">
        <f t="shared" si="16"/>
        <v>15.1 - [Name of sub-vote]</v>
      </c>
      <c r="B103" s="210"/>
      <c r="C103" s="54"/>
      <c r="D103" s="54"/>
      <c r="E103" s="245"/>
      <c r="F103" s="246"/>
      <c r="G103" s="54"/>
      <c r="H103" s="247"/>
      <c r="I103" s="62"/>
      <c r="J103" s="54"/>
      <c r="K103" s="245"/>
      <c r="L103" s="243"/>
      <c r="M103" s="244"/>
      <c r="N103" s="244"/>
      <c r="O103" s="244"/>
      <c r="P103" s="244"/>
      <c r="Q103" s="244"/>
      <c r="R103" s="244"/>
      <c r="S103" s="244"/>
      <c r="T103" s="244"/>
      <c r="U103" s="244"/>
      <c r="V103" s="244"/>
      <c r="W103" s="244"/>
    </row>
    <row r="104" spans="1:23" ht="11.25" customHeight="1" x14ac:dyDescent="0.2">
      <c r="A104" s="63" t="s">
        <v>392</v>
      </c>
      <c r="B104" s="210">
        <v>2</v>
      </c>
      <c r="C104" s="65">
        <f t="shared" ref="C104:K104" si="32">C56+C59+C70+C72+C77+C79+C81+C85+C89+C94+C96+C98+C100+C102+C92</f>
        <v>189518607</v>
      </c>
      <c r="D104" s="65">
        <f t="shared" si="32"/>
        <v>230489996</v>
      </c>
      <c r="E104" s="172">
        <f t="shared" si="32"/>
        <v>247665393</v>
      </c>
      <c r="F104" s="171">
        <f t="shared" si="32"/>
        <v>223430361.52999997</v>
      </c>
      <c r="G104" s="65">
        <f t="shared" si="32"/>
        <v>275463466.53000009</v>
      </c>
      <c r="H104" s="248">
        <f t="shared" si="32"/>
        <v>275463466.53000009</v>
      </c>
      <c r="I104" s="64">
        <f t="shared" si="32"/>
        <v>308588226</v>
      </c>
      <c r="J104" s="65">
        <f t="shared" si="32"/>
        <v>309505312</v>
      </c>
      <c r="K104" s="172">
        <f t="shared" si="32"/>
        <v>328011128</v>
      </c>
      <c r="L104" s="223">
        <f t="shared" ref="L104:W104" si="33">SUM(L56:L84)</f>
        <v>0</v>
      </c>
      <c r="M104" s="224">
        <f t="shared" si="33"/>
        <v>0</v>
      </c>
      <c r="N104" s="224">
        <f t="shared" si="33"/>
        <v>0</v>
      </c>
      <c r="O104" s="224">
        <f t="shared" si="33"/>
        <v>0</v>
      </c>
      <c r="P104" s="224">
        <f t="shared" si="33"/>
        <v>0</v>
      </c>
      <c r="Q104" s="224">
        <f t="shared" si="33"/>
        <v>0</v>
      </c>
      <c r="R104" s="224">
        <f t="shared" si="33"/>
        <v>0</v>
      </c>
      <c r="S104" s="224">
        <f t="shared" si="33"/>
        <v>0</v>
      </c>
      <c r="T104" s="224">
        <f t="shared" si="33"/>
        <v>0</v>
      </c>
      <c r="U104" s="224">
        <f t="shared" si="33"/>
        <v>0</v>
      </c>
      <c r="V104" s="224">
        <f t="shared" si="33"/>
        <v>0</v>
      </c>
      <c r="W104" s="224">
        <f t="shared" si="33"/>
        <v>0</v>
      </c>
    </row>
    <row r="105" spans="1:23" ht="4.95" customHeight="1" x14ac:dyDescent="0.2">
      <c r="A105" s="67"/>
      <c r="B105" s="210"/>
      <c r="C105" s="68"/>
      <c r="D105" s="68"/>
      <c r="E105" s="249"/>
      <c r="F105" s="250"/>
      <c r="G105" s="68"/>
      <c r="H105" s="251"/>
      <c r="I105" s="252"/>
      <c r="J105" s="68"/>
      <c r="K105" s="249"/>
      <c r="L105" s="253"/>
      <c r="M105" s="254"/>
      <c r="N105" s="254"/>
      <c r="O105" s="254"/>
      <c r="P105" s="254"/>
      <c r="Q105" s="254"/>
      <c r="R105" s="254"/>
      <c r="S105" s="254"/>
      <c r="T105" s="254"/>
      <c r="U105" s="254"/>
      <c r="V105" s="254"/>
      <c r="W105" s="254"/>
    </row>
    <row r="106" spans="1:23" ht="10.8" thickBot="1" x14ac:dyDescent="0.25">
      <c r="A106" s="118">
        <f>result</f>
        <v>0</v>
      </c>
      <c r="B106" s="255">
        <v>2</v>
      </c>
      <c r="C106" s="178">
        <f t="shared" ref="C106:W106" si="34">C53-C104</f>
        <v>156204428</v>
      </c>
      <c r="D106" s="178">
        <f t="shared" si="34"/>
        <v>90079183</v>
      </c>
      <c r="E106" s="256">
        <f t="shared" si="34"/>
        <v>96547552</v>
      </c>
      <c r="F106" s="257">
        <f t="shared" si="34"/>
        <v>179277318.91000009</v>
      </c>
      <c r="G106" s="69">
        <f t="shared" si="34"/>
        <v>193661414.90999997</v>
      </c>
      <c r="H106" s="258">
        <f t="shared" si="34"/>
        <v>193661414.90999997</v>
      </c>
      <c r="I106" s="91">
        <f t="shared" si="34"/>
        <v>151554217</v>
      </c>
      <c r="J106" s="69">
        <f t="shared" si="34"/>
        <v>185822294</v>
      </c>
      <c r="K106" s="256">
        <f t="shared" si="34"/>
        <v>200551218</v>
      </c>
      <c r="L106" s="259" t="e">
        <f t="shared" si="34"/>
        <v>#REF!</v>
      </c>
      <c r="M106" s="260" t="e">
        <f t="shared" si="34"/>
        <v>#REF!</v>
      </c>
      <c r="N106" s="260" t="e">
        <f t="shared" si="34"/>
        <v>#REF!</v>
      </c>
      <c r="O106" s="260" t="e">
        <f t="shared" si="34"/>
        <v>#REF!</v>
      </c>
      <c r="P106" s="260" t="e">
        <f t="shared" si="34"/>
        <v>#REF!</v>
      </c>
      <c r="Q106" s="260" t="e">
        <f t="shared" si="34"/>
        <v>#REF!</v>
      </c>
      <c r="R106" s="260" t="e">
        <f t="shared" si="34"/>
        <v>#REF!</v>
      </c>
      <c r="S106" s="260" t="e">
        <f t="shared" si="34"/>
        <v>#REF!</v>
      </c>
      <c r="T106" s="260" t="e">
        <f t="shared" si="34"/>
        <v>#REF!</v>
      </c>
      <c r="U106" s="260" t="e">
        <f t="shared" si="34"/>
        <v>#REF!</v>
      </c>
      <c r="V106" s="260" t="e">
        <f t="shared" si="34"/>
        <v>#REF!</v>
      </c>
      <c r="W106" s="260" t="e">
        <f t="shared" si="34"/>
        <v>#REF!</v>
      </c>
    </row>
    <row r="107" spans="1:23" s="183" customFormat="1" ht="11.25" customHeight="1" thickTop="1" x14ac:dyDescent="0.2">
      <c r="A107" s="261">
        <f>head27a</f>
        <v>2</v>
      </c>
      <c r="B107" s="262"/>
      <c r="C107" s="70"/>
      <c r="D107" s="71"/>
      <c r="E107" s="71"/>
      <c r="F107" s="71"/>
      <c r="G107" s="71"/>
      <c r="H107" s="71"/>
      <c r="I107" s="71"/>
      <c r="J107" s="71"/>
      <c r="K107" s="71"/>
    </row>
    <row r="108" spans="1:23" s="183" customFormat="1" ht="11.25" customHeight="1" x14ac:dyDescent="0.2">
      <c r="A108" s="263" t="s">
        <v>517</v>
      </c>
      <c r="B108" s="262"/>
      <c r="C108" s="72"/>
      <c r="D108" s="72"/>
      <c r="E108" s="73"/>
      <c r="F108" s="73"/>
      <c r="G108" s="73"/>
      <c r="H108" s="73"/>
      <c r="I108" s="73"/>
      <c r="J108" s="73"/>
      <c r="K108" s="73"/>
    </row>
    <row r="109" spans="1:23" s="183" customFormat="1" ht="11.25" customHeight="1" x14ac:dyDescent="0.2">
      <c r="A109" s="109" t="s">
        <v>518</v>
      </c>
      <c r="B109" s="262"/>
      <c r="C109" s="72"/>
      <c r="D109" s="72"/>
      <c r="E109" s="73"/>
      <c r="F109" s="73"/>
      <c r="G109" s="73"/>
      <c r="H109" s="73"/>
      <c r="I109" s="73"/>
      <c r="J109" s="73"/>
      <c r="K109" s="73"/>
    </row>
    <row r="110" spans="1:23" s="183" customFormat="1" ht="11.25" customHeight="1" x14ac:dyDescent="0.2">
      <c r="A110" s="109" t="s">
        <v>393</v>
      </c>
      <c r="B110" s="264"/>
      <c r="C110" s="74"/>
      <c r="D110" s="74"/>
      <c r="E110" s="265"/>
      <c r="F110" s="265"/>
      <c r="G110" s="265"/>
      <c r="H110" s="265"/>
      <c r="I110" s="265"/>
      <c r="J110" s="265"/>
      <c r="K110" s="265"/>
    </row>
    <row r="111" spans="1:23" ht="11.25" customHeight="1" x14ac:dyDescent="0.2">
      <c r="A111" s="92"/>
    </row>
    <row r="112" spans="1:23" ht="11.25" customHeight="1" x14ac:dyDescent="0.2">
      <c r="A112" s="267" t="s">
        <v>492</v>
      </c>
      <c r="B112" s="268"/>
      <c r="C112" s="269">
        <f>C53-'[2]A4-FinPerf RE'!C59</f>
        <v>0</v>
      </c>
      <c r="D112" s="269">
        <f>D53-'[2]A4-FinPerf RE'!D59</f>
        <v>0</v>
      </c>
      <c r="E112" s="269">
        <f>E53-'[2]A4-FinPerf RE'!E59</f>
        <v>0</v>
      </c>
      <c r="F112" s="269">
        <f>F53-'[2]A4-FinPerf RE'!F59</f>
        <v>0.21000003814697266</v>
      </c>
      <c r="G112" s="269">
        <f>G53-'[2]A4-FinPerf RE'!G59</f>
        <v>0.21000003814697266</v>
      </c>
      <c r="H112" s="269">
        <f>H53-'[2]A4-FinPerf RE'!H59</f>
        <v>0.21000003814697266</v>
      </c>
      <c r="I112" s="269">
        <f>I53-'[2]A4-FinPerf RE'!J59</f>
        <v>0</v>
      </c>
      <c r="J112" s="269">
        <f>J53-'[2]A4-FinPerf RE'!K59</f>
        <v>-2</v>
      </c>
      <c r="K112" s="269">
        <f>K53-'[2]A4-FinPerf RE'!L59</f>
        <v>0</v>
      </c>
    </row>
    <row r="113" spans="1:11" ht="11.25" customHeight="1" x14ac:dyDescent="0.2">
      <c r="A113" s="267" t="s">
        <v>493</v>
      </c>
      <c r="B113" s="268"/>
      <c r="C113" s="269">
        <f>C104-'[2]A4-FinPerf RE'!C35</f>
        <v>0</v>
      </c>
      <c r="D113" s="269">
        <f>D104-'[2]A4-FinPerf RE'!D35</f>
        <v>0</v>
      </c>
      <c r="E113" s="269">
        <f>E104-'[2]A4-FinPerf RE'!E35</f>
        <v>0</v>
      </c>
      <c r="F113" s="269">
        <f>F104-'[2]A4-FinPerf RE'!F35</f>
        <v>0.16759997606277466</v>
      </c>
      <c r="G113" s="269">
        <f>G104-'[2]A4-FinPerf RE'!G35</f>
        <v>0.46760010719299316</v>
      </c>
      <c r="H113" s="269">
        <f>H104-'[2]A4-FinPerf RE'!H35</f>
        <v>0.46760010719299316</v>
      </c>
      <c r="I113" s="269">
        <f>I104-'[2]A4-FinPerf RE'!J35</f>
        <v>4</v>
      </c>
      <c r="J113" s="269">
        <f>J104-'[2]A4-FinPerf RE'!K35</f>
        <v>-4</v>
      </c>
      <c r="K113" s="269">
        <f>K104-'[2]A4-FinPerf RE'!L35</f>
        <v>-2</v>
      </c>
    </row>
    <row r="114" spans="1:11" ht="11.25" customHeight="1" x14ac:dyDescent="0.2">
      <c r="A114" s="92"/>
    </row>
    <row r="115" spans="1:11" ht="11.25" customHeight="1" x14ac:dyDescent="0.2">
      <c r="A115" s="92"/>
    </row>
    <row r="116" spans="1:11" ht="11.25" customHeight="1" x14ac:dyDescent="0.2">
      <c r="A116" s="92"/>
    </row>
    <row r="117" spans="1:11" ht="11.25" customHeight="1" x14ac:dyDescent="0.2"/>
    <row r="118" spans="1:11" ht="11.25" customHeight="1" x14ac:dyDescent="0.2"/>
    <row r="119" spans="1:11" ht="11.25" customHeight="1" x14ac:dyDescent="0.2"/>
    <row r="120" spans="1:11" ht="11.25" customHeight="1" x14ac:dyDescent="0.2"/>
    <row r="121" spans="1:11" ht="11.25" customHeight="1" x14ac:dyDescent="0.2"/>
    <row r="122" spans="1:11" ht="11.25" customHeight="1" x14ac:dyDescent="0.2"/>
    <row r="123" spans="1:11" ht="11.25" customHeight="1" x14ac:dyDescent="0.2"/>
    <row r="124" spans="1:11" ht="11.25" customHeight="1" x14ac:dyDescent="0.2"/>
    <row r="125" spans="1:11" ht="11.25" customHeight="1" x14ac:dyDescent="0.2"/>
    <row r="126" spans="1:11" ht="11.25" customHeight="1" x14ac:dyDescent="0.2"/>
    <row r="127" spans="1:11" ht="11.25" customHeight="1" x14ac:dyDescent="0.2"/>
    <row r="128" spans="1:11"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row r="140" ht="11.25" customHeight="1" x14ac:dyDescent="0.2"/>
    <row r="141" ht="11.25" customHeight="1" x14ac:dyDescent="0.2"/>
    <row r="142" ht="11.25" customHeight="1" x14ac:dyDescent="0.2"/>
    <row r="143" ht="11.25" customHeight="1" x14ac:dyDescent="0.2"/>
    <row r="144" ht="11.25" customHeight="1" x14ac:dyDescent="0.2"/>
    <row r="145" ht="11.25" customHeight="1" x14ac:dyDescent="0.2"/>
  </sheetData>
  <mergeCells count="3">
    <mergeCell ref="F2:H2"/>
    <mergeCell ref="I2:K2"/>
    <mergeCell ref="L2:W2"/>
  </mergeCells>
  <dataValidations count="2">
    <dataValidation type="list" allowBlank="1" showInputMessage="1" showErrorMessage="1" promptTitle="Select Vote" prompt="Select Vote from list" sqref="A59" xr:uid="{00000000-0002-0000-0600-000000000000}">
      <formula1>Vote</formula1>
    </dataValidation>
    <dataValidation type="decimal" allowBlank="1" showInputMessage="1" showErrorMessage="1" sqref="C95:K95 C35:K35 C39:K39 C44:K44 C57:K58 C60:K62 C69:K69 C71:K71 C73:K76 C78:K78 C80:K80 C82:K84 C86:K88 C90:K91 C93:K93 C11:K11" xr:uid="{00000000-0002-0000-0600-000001000000}">
      <formula1>-99999999999999900000</formula1>
      <formula2>99999999999999900000</formula2>
    </dataValidation>
  </dataValidation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Y91"/>
  <sheetViews>
    <sheetView view="pageBreakPreview" zoomScale="60" zoomScaleNormal="100" workbookViewId="0">
      <selection activeCell="P32" sqref="P32"/>
    </sheetView>
  </sheetViews>
  <sheetFormatPr defaultColWidth="9.109375" defaultRowHeight="10.199999999999999" x14ac:dyDescent="0.2"/>
  <cols>
    <col min="1" max="1" width="30.6640625" style="46" customWidth="1"/>
    <col min="2" max="2" width="3" style="47" customWidth="1"/>
    <col min="3" max="8" width="9.33203125" style="46" customWidth="1"/>
    <col min="9" max="9" width="9.109375" style="46" customWidth="1"/>
    <col min="10" max="12" width="9.33203125" style="46" customWidth="1"/>
    <col min="13" max="13" width="9.6640625" style="46" hidden="1" customWidth="1"/>
    <col min="14" max="14" width="9.44140625" style="46" hidden="1" customWidth="1"/>
    <col min="15" max="15" width="9.6640625" style="46" hidden="1" customWidth="1"/>
    <col min="16" max="18" width="9.44140625" style="46" hidden="1" customWidth="1"/>
    <col min="19" max="19" width="9.6640625" style="46" hidden="1" customWidth="1"/>
    <col min="20" max="22" width="9.44140625" style="46" hidden="1" customWidth="1"/>
    <col min="23" max="24" width="9.6640625" style="46" hidden="1" customWidth="1"/>
    <col min="25" max="16384" width="9.109375" style="46"/>
  </cols>
  <sheetData>
    <row r="1" spans="1:25" s="186" customFormat="1" ht="13.8" x14ac:dyDescent="0.3">
      <c r="A1" s="154" t="e">
        <f>muni&amp;" - "&amp;Approve4</f>
        <v>#REF!</v>
      </c>
      <c r="B1" s="154"/>
      <c r="C1" s="154"/>
      <c r="D1" s="154"/>
      <c r="E1" s="154"/>
      <c r="F1" s="154"/>
      <c r="G1" s="154"/>
      <c r="H1" s="154"/>
      <c r="I1" s="154"/>
      <c r="J1" s="154"/>
      <c r="K1" s="154"/>
      <c r="L1" s="154"/>
    </row>
    <row r="2" spans="1:25" ht="28.5" customHeight="1" x14ac:dyDescent="0.2">
      <c r="A2" s="270">
        <f>desc</f>
        <v>0</v>
      </c>
      <c r="B2" s="271">
        <f>head27</f>
        <v>0</v>
      </c>
      <c r="C2" s="272" t="str">
        <f>head1b</f>
        <v>2015/16</v>
      </c>
      <c r="D2" s="272" t="str">
        <f>head1A</f>
        <v>2016/17</v>
      </c>
      <c r="E2" s="273" t="str">
        <f>Head1</f>
        <v>2017/18</v>
      </c>
      <c r="F2" s="602">
        <f>Head2</f>
        <v>0</v>
      </c>
      <c r="G2" s="603"/>
      <c r="H2" s="603"/>
      <c r="I2" s="603"/>
      <c r="J2" s="604" t="str">
        <f>Head3</f>
        <v>2019/20 Medium Term Revenue &amp; Expenditure Framework</v>
      </c>
      <c r="K2" s="605"/>
      <c r="L2" s="606"/>
      <c r="M2" s="607" t="str">
        <f>Head4</f>
        <v>LTFS</v>
      </c>
      <c r="N2" s="607"/>
      <c r="O2" s="607"/>
      <c r="P2" s="607"/>
      <c r="Q2" s="607"/>
      <c r="R2" s="607"/>
      <c r="S2" s="607"/>
      <c r="T2" s="607"/>
      <c r="U2" s="607"/>
      <c r="V2" s="607"/>
      <c r="W2" s="607"/>
      <c r="X2" s="608"/>
    </row>
    <row r="3" spans="1:25" ht="20.399999999999999" x14ac:dyDescent="0.2">
      <c r="A3" s="48" t="s">
        <v>515</v>
      </c>
      <c r="B3" s="49">
        <v>1</v>
      </c>
      <c r="C3" s="160" t="str">
        <f>Head5</f>
        <v>Audited Outcome</v>
      </c>
      <c r="D3" s="160" t="str">
        <f>Head5</f>
        <v>Audited Outcome</v>
      </c>
      <c r="E3" s="159" t="str">
        <f>Head5</f>
        <v>Audited Outcome</v>
      </c>
      <c r="F3" s="157">
        <f>Head6</f>
        <v>0</v>
      </c>
      <c r="G3" s="160">
        <f>Head7</f>
        <v>0</v>
      </c>
      <c r="H3" s="159" t="str">
        <f>Head8</f>
        <v>Full Year Forecast</v>
      </c>
      <c r="I3" s="274" t="str">
        <f>Head5b</f>
        <v>Pre-audit outcome</v>
      </c>
      <c r="J3" s="157">
        <f>Head9</f>
        <v>0</v>
      </c>
      <c r="K3" s="160">
        <f>Head10</f>
        <v>0</v>
      </c>
      <c r="L3" s="159">
        <f>Head11</f>
        <v>0</v>
      </c>
      <c r="M3" s="196" t="str">
        <f>Head12</f>
        <v>Forecast 2022/23</v>
      </c>
      <c r="N3" s="197" t="str">
        <f>Head13</f>
        <v>Forecast 2023/24</v>
      </c>
      <c r="O3" s="197" t="str">
        <f>Head14</f>
        <v>Forecast 2024/25</v>
      </c>
      <c r="P3" s="197" t="str">
        <f>Head15</f>
        <v>Forecast 2025/26</v>
      </c>
      <c r="Q3" s="197" t="str">
        <f>Head16</f>
        <v>Forecast 2026/27</v>
      </c>
      <c r="R3" s="197" t="str">
        <f>Head17</f>
        <v>Forecast 2027/28</v>
      </c>
      <c r="S3" s="197" t="str">
        <f>Head18</f>
        <v>Forecast 2028/29</v>
      </c>
      <c r="T3" s="197" t="str">
        <f>Head19</f>
        <v>Forecast 2029/30</v>
      </c>
      <c r="U3" s="197" t="str">
        <f>Head20</f>
        <v>Forecast 2030/31</v>
      </c>
      <c r="V3" s="197" t="str">
        <f>Head21</f>
        <v>Forecast 2031/32</v>
      </c>
      <c r="W3" s="197" t="str">
        <f>Head22</f>
        <v>Forecast 2032/33</v>
      </c>
      <c r="X3" s="197" t="str">
        <f>Head23</f>
        <v>Forecast 2033/34</v>
      </c>
    </row>
    <row r="4" spans="1:25" ht="12.75" customHeight="1" x14ac:dyDescent="0.2">
      <c r="A4" s="161" t="s">
        <v>394</v>
      </c>
      <c r="B4" s="275"/>
      <c r="C4" s="276"/>
      <c r="D4" s="276"/>
      <c r="E4" s="277"/>
      <c r="F4" s="278"/>
      <c r="G4" s="276"/>
      <c r="H4" s="279"/>
      <c r="I4" s="280"/>
      <c r="J4" s="281"/>
      <c r="K4" s="276"/>
      <c r="L4" s="279"/>
      <c r="M4" s="203"/>
      <c r="N4" s="82"/>
      <c r="O4" s="82"/>
      <c r="P4" s="82"/>
      <c r="Q4" s="82"/>
      <c r="R4" s="82"/>
      <c r="S4" s="82"/>
      <c r="T4" s="82"/>
      <c r="U4" s="82"/>
      <c r="V4" s="82"/>
      <c r="W4" s="82"/>
      <c r="X4" s="82"/>
      <c r="Y4" s="76"/>
    </row>
    <row r="5" spans="1:25" ht="12.75" customHeight="1" x14ac:dyDescent="0.2">
      <c r="A5" s="114" t="s">
        <v>395</v>
      </c>
      <c r="B5" s="282">
        <v>2</v>
      </c>
      <c r="C5" s="112">
        <f>[2]SA1!C9</f>
        <v>8977594</v>
      </c>
      <c r="D5" s="112">
        <f>[2]SA1!D9</f>
        <v>11845856</v>
      </c>
      <c r="E5" s="283">
        <f>[2]SA1!E9</f>
        <v>8599768</v>
      </c>
      <c r="F5" s="284">
        <f>[2]SA1!F9</f>
        <v>12255327.57</v>
      </c>
      <c r="G5" s="112">
        <f>[2]SA1!G9</f>
        <v>16863286.57</v>
      </c>
      <c r="H5" s="111">
        <f>[2]SA1!H9</f>
        <v>16863286.57</v>
      </c>
      <c r="I5" s="285">
        <f>[2]SA1!I9</f>
        <v>16863286.57</v>
      </c>
      <c r="J5" s="284">
        <f>[2]SA1!J9</f>
        <v>17740178</v>
      </c>
      <c r="K5" s="112">
        <f>[2]SA1!K9</f>
        <v>18698147</v>
      </c>
      <c r="L5" s="111">
        <f>[2]SA1!L9</f>
        <v>19707847</v>
      </c>
      <c r="M5" s="216"/>
      <c r="N5" s="217"/>
      <c r="O5" s="217"/>
      <c r="P5" s="217"/>
      <c r="Q5" s="217"/>
      <c r="R5" s="217"/>
      <c r="S5" s="217"/>
      <c r="T5" s="217"/>
      <c r="U5" s="217"/>
      <c r="V5" s="217"/>
      <c r="W5" s="217"/>
      <c r="X5" s="217"/>
      <c r="Y5" s="76"/>
    </row>
    <row r="6" spans="1:25" ht="12.75" customHeight="1" x14ac:dyDescent="0.2">
      <c r="A6" s="286" t="s">
        <v>396</v>
      </c>
      <c r="B6" s="282">
        <v>2</v>
      </c>
      <c r="C6" s="112">
        <f>[2]SA1!C15</f>
        <v>9282999</v>
      </c>
      <c r="D6" s="112">
        <f>[2]SA1!D15</f>
        <v>9782575</v>
      </c>
      <c r="E6" s="283">
        <f>[2]SA1!E15</f>
        <v>9667754</v>
      </c>
      <c r="F6" s="284">
        <f>[2]SA1!F15</f>
        <v>12666643.210000001</v>
      </c>
      <c r="G6" s="112">
        <f>[2]SA1!G15</f>
        <v>24474643.210000001</v>
      </c>
      <c r="H6" s="111">
        <f>[2]SA1!H15</f>
        <v>24474643.210000001</v>
      </c>
      <c r="I6" s="285">
        <f>[2]SA1!I15</f>
        <v>23428502.210000001</v>
      </c>
      <c r="J6" s="284">
        <f>[2]SA1!J15</f>
        <v>25738909</v>
      </c>
      <c r="K6" s="112">
        <f>[2]SA1!K15</f>
        <v>27128809</v>
      </c>
      <c r="L6" s="111">
        <f>[2]SA1!L15</f>
        <v>28593766</v>
      </c>
      <c r="M6" s="216"/>
      <c r="N6" s="217"/>
      <c r="O6" s="217"/>
      <c r="P6" s="217"/>
      <c r="Q6" s="217"/>
      <c r="R6" s="217"/>
      <c r="S6" s="217"/>
      <c r="T6" s="217"/>
      <c r="U6" s="217"/>
      <c r="V6" s="217"/>
      <c r="W6" s="217"/>
      <c r="X6" s="217"/>
      <c r="Y6" s="76"/>
    </row>
    <row r="7" spans="1:25" ht="12.75" customHeight="1" x14ac:dyDescent="0.2">
      <c r="A7" s="286" t="s">
        <v>397</v>
      </c>
      <c r="B7" s="282">
        <v>2</v>
      </c>
      <c r="C7" s="112">
        <f>[2]SA1!C21</f>
        <v>0</v>
      </c>
      <c r="D7" s="112">
        <f>[2]SA1!D21</f>
        <v>0</v>
      </c>
      <c r="E7" s="283">
        <f>[2]SA1!E21</f>
        <v>0</v>
      </c>
      <c r="F7" s="284">
        <f>[2]SA1!F21</f>
        <v>0</v>
      </c>
      <c r="G7" s="112">
        <f>[2]SA1!G21</f>
        <v>0</v>
      </c>
      <c r="H7" s="111">
        <f>[2]SA1!H21</f>
        <v>0</v>
      </c>
      <c r="I7" s="285">
        <f>[2]SA1!I21</f>
        <v>0</v>
      </c>
      <c r="J7" s="284">
        <f>[2]SA1!J21</f>
        <v>0</v>
      </c>
      <c r="K7" s="112">
        <f>[2]SA1!K21</f>
        <v>0</v>
      </c>
      <c r="L7" s="111">
        <f>[2]SA1!L21</f>
        <v>0</v>
      </c>
      <c r="M7" s="216"/>
      <c r="N7" s="217"/>
      <c r="O7" s="217"/>
      <c r="P7" s="217"/>
      <c r="Q7" s="217"/>
      <c r="R7" s="217"/>
      <c r="S7" s="217"/>
      <c r="T7" s="217"/>
      <c r="U7" s="217"/>
      <c r="V7" s="217"/>
      <c r="W7" s="217"/>
      <c r="X7" s="217"/>
      <c r="Y7" s="76"/>
    </row>
    <row r="8" spans="1:25" ht="12.75" customHeight="1" x14ac:dyDescent="0.2">
      <c r="A8" s="286" t="s">
        <v>398</v>
      </c>
      <c r="B8" s="282">
        <v>2</v>
      </c>
      <c r="C8" s="112">
        <f>[2]SA1!C27</f>
        <v>0</v>
      </c>
      <c r="D8" s="112">
        <f>[2]SA1!D27</f>
        <v>0</v>
      </c>
      <c r="E8" s="283">
        <f>[2]SA1!E27</f>
        <v>0</v>
      </c>
      <c r="F8" s="284">
        <f>[2]SA1!F27</f>
        <v>0</v>
      </c>
      <c r="G8" s="112">
        <f>[2]SA1!G27</f>
        <v>0</v>
      </c>
      <c r="H8" s="111">
        <f>[2]SA1!H27</f>
        <v>0</v>
      </c>
      <c r="I8" s="285">
        <f>[2]SA1!I27</f>
        <v>0</v>
      </c>
      <c r="J8" s="284">
        <f>[2]SA1!J27</f>
        <v>0</v>
      </c>
      <c r="K8" s="112">
        <f>[2]SA1!K27</f>
        <v>0</v>
      </c>
      <c r="L8" s="111">
        <f>[2]SA1!L27</f>
        <v>0</v>
      </c>
      <c r="M8" s="216"/>
      <c r="N8" s="217"/>
      <c r="O8" s="217"/>
      <c r="P8" s="217"/>
      <c r="Q8" s="217"/>
      <c r="R8" s="217"/>
      <c r="S8" s="217"/>
      <c r="T8" s="217"/>
      <c r="U8" s="217"/>
      <c r="V8" s="217"/>
      <c r="W8" s="217"/>
      <c r="X8" s="217"/>
      <c r="Y8" s="76"/>
    </row>
    <row r="9" spans="1:25" ht="12.75" customHeight="1" x14ac:dyDescent="0.2">
      <c r="A9" s="286" t="s">
        <v>399</v>
      </c>
      <c r="B9" s="282">
        <v>2</v>
      </c>
      <c r="C9" s="106">
        <f>[2]SA1!C34</f>
        <v>3646541</v>
      </c>
      <c r="D9" s="106">
        <f>[2]SA1!D34</f>
        <v>4053445</v>
      </c>
      <c r="E9" s="168">
        <f>[2]SA1!E34</f>
        <v>4193295</v>
      </c>
      <c r="F9" s="174">
        <f>[2]SA1!F34</f>
        <v>6243396.8199999994</v>
      </c>
      <c r="G9" s="53">
        <f>[2]SA1!G34</f>
        <v>8243396.8199999994</v>
      </c>
      <c r="H9" s="75">
        <f>[2]SA1!H34</f>
        <v>8243396.8199999994</v>
      </c>
      <c r="I9" s="287">
        <f>[2]SA1!I34</f>
        <v>8243396.8199999994</v>
      </c>
      <c r="J9" s="89">
        <f>[2]SA1!J34</f>
        <v>8672053</v>
      </c>
      <c r="K9" s="53">
        <f>[2]SA1!K34</f>
        <v>9140344</v>
      </c>
      <c r="L9" s="168">
        <f>[2]SA1!L34</f>
        <v>9633923</v>
      </c>
      <c r="M9" s="216"/>
      <c r="N9" s="217"/>
      <c r="O9" s="217"/>
      <c r="P9" s="217"/>
      <c r="Q9" s="217"/>
      <c r="R9" s="217"/>
      <c r="S9" s="217"/>
      <c r="T9" s="217"/>
      <c r="U9" s="217"/>
      <c r="V9" s="217"/>
      <c r="W9" s="217"/>
      <c r="X9" s="217"/>
      <c r="Y9" s="76"/>
    </row>
    <row r="10" spans="1:25" ht="1.95" customHeight="1" x14ac:dyDescent="0.2">
      <c r="A10" s="286"/>
      <c r="B10" s="288"/>
      <c r="C10" s="112"/>
      <c r="D10" s="112"/>
      <c r="E10" s="289"/>
      <c r="F10" s="290"/>
      <c r="G10" s="112"/>
      <c r="H10" s="289"/>
      <c r="I10" s="285"/>
      <c r="J10" s="284"/>
      <c r="K10" s="112"/>
      <c r="L10" s="289"/>
      <c r="M10" s="216"/>
      <c r="N10" s="217"/>
      <c r="O10" s="217"/>
      <c r="P10" s="217"/>
      <c r="Q10" s="217"/>
      <c r="R10" s="217"/>
      <c r="S10" s="217"/>
      <c r="T10" s="217"/>
      <c r="U10" s="217"/>
      <c r="V10" s="217"/>
      <c r="W10" s="217"/>
      <c r="X10" s="217"/>
      <c r="Y10" s="76"/>
    </row>
    <row r="11" spans="1:25" ht="12.75" customHeight="1" x14ac:dyDescent="0.2">
      <c r="A11" s="286" t="s">
        <v>400</v>
      </c>
      <c r="B11" s="288"/>
      <c r="C11" s="78">
        <v>90519</v>
      </c>
      <c r="D11" s="78">
        <v>142097</v>
      </c>
      <c r="E11" s="214">
        <v>169074</v>
      </c>
      <c r="F11" s="79">
        <v>956797.77</v>
      </c>
      <c r="G11" s="78">
        <v>956797.77</v>
      </c>
      <c r="H11" s="291">
        <v>956797.77</v>
      </c>
      <c r="I11" s="292">
        <v>956797.77</v>
      </c>
      <c r="J11" s="78">
        <v>1006551</v>
      </c>
      <c r="K11" s="78">
        <v>1060905</v>
      </c>
      <c r="L11" s="78">
        <v>1118194</v>
      </c>
      <c r="M11" s="216"/>
      <c r="N11" s="217"/>
      <c r="O11" s="217"/>
      <c r="P11" s="217"/>
      <c r="Q11" s="217"/>
      <c r="R11" s="217"/>
      <c r="S11" s="217"/>
      <c r="T11" s="217"/>
      <c r="U11" s="217"/>
      <c r="V11" s="217"/>
      <c r="W11" s="217"/>
      <c r="X11" s="217"/>
    </row>
    <row r="12" spans="1:25" ht="12.75" customHeight="1" x14ac:dyDescent="0.2">
      <c r="A12" s="114" t="s">
        <v>401</v>
      </c>
      <c r="B12" s="288"/>
      <c r="C12" s="78">
        <v>3925076</v>
      </c>
      <c r="D12" s="78">
        <v>5885924</v>
      </c>
      <c r="E12" s="241">
        <v>4605544</v>
      </c>
      <c r="F12" s="167">
        <v>4519515.4400000004</v>
      </c>
      <c r="G12" s="78">
        <v>4519515.4400000004</v>
      </c>
      <c r="H12" s="241">
        <v>4519515.4400000004</v>
      </c>
      <c r="I12" s="241">
        <v>4519515.4400000004</v>
      </c>
      <c r="J12" s="79">
        <v>4754530</v>
      </c>
      <c r="K12" s="78">
        <v>5011275</v>
      </c>
      <c r="L12" s="241">
        <v>5281884</v>
      </c>
      <c r="M12" s="216"/>
      <c r="N12" s="217"/>
      <c r="O12" s="217"/>
      <c r="P12" s="217"/>
      <c r="Q12" s="217"/>
      <c r="R12" s="217"/>
      <c r="S12" s="217"/>
      <c r="T12" s="217"/>
      <c r="U12" s="217"/>
      <c r="V12" s="217"/>
      <c r="W12" s="217"/>
      <c r="X12" s="217"/>
    </row>
    <row r="13" spans="1:25" ht="12.75" customHeight="1" x14ac:dyDescent="0.2">
      <c r="A13" s="114" t="s">
        <v>402</v>
      </c>
      <c r="B13" s="288"/>
      <c r="C13" s="78">
        <v>7752685</v>
      </c>
      <c r="D13" s="78">
        <v>9162216</v>
      </c>
      <c r="E13" s="241">
        <v>10309711</v>
      </c>
      <c r="F13" s="242">
        <v>8441397.7699999996</v>
      </c>
      <c r="G13" s="78">
        <v>19227652.77</v>
      </c>
      <c r="H13" s="241">
        <v>19227652.77</v>
      </c>
      <c r="I13" s="241">
        <v>19227652.77</v>
      </c>
      <c r="J13" s="79">
        <v>20227491</v>
      </c>
      <c r="K13" s="78">
        <v>21319776</v>
      </c>
      <c r="L13" s="241">
        <v>22471044</v>
      </c>
      <c r="M13" s="216"/>
      <c r="N13" s="217"/>
      <c r="O13" s="217"/>
      <c r="P13" s="217"/>
      <c r="Q13" s="217"/>
      <c r="R13" s="217"/>
      <c r="S13" s="217"/>
      <c r="T13" s="217"/>
      <c r="U13" s="217"/>
      <c r="V13" s="217"/>
      <c r="W13" s="217"/>
      <c r="X13" s="217"/>
    </row>
    <row r="14" spans="1:25" ht="12.75" customHeight="1" x14ac:dyDescent="0.2">
      <c r="A14" s="114" t="s">
        <v>403</v>
      </c>
      <c r="B14" s="288"/>
      <c r="C14" s="293">
        <v>0</v>
      </c>
      <c r="D14" s="293">
        <v>0</v>
      </c>
      <c r="E14" s="294">
        <v>0</v>
      </c>
      <c r="F14" s="113">
        <v>0</v>
      </c>
      <c r="G14" s="293">
        <v>0</v>
      </c>
      <c r="H14" s="294">
        <v>0</v>
      </c>
      <c r="I14" s="295">
        <v>0</v>
      </c>
      <c r="J14" s="113">
        <v>0</v>
      </c>
      <c r="K14" s="293">
        <v>0</v>
      </c>
      <c r="L14" s="294">
        <v>0</v>
      </c>
      <c r="M14" s="216"/>
      <c r="N14" s="217"/>
      <c r="O14" s="217"/>
      <c r="P14" s="217"/>
      <c r="Q14" s="217"/>
      <c r="R14" s="217"/>
      <c r="S14" s="217"/>
      <c r="T14" s="217"/>
      <c r="U14" s="217"/>
      <c r="V14" s="217"/>
      <c r="W14" s="217"/>
      <c r="X14" s="217"/>
    </row>
    <row r="15" spans="1:25" ht="12.75" customHeight="1" x14ac:dyDescent="0.2">
      <c r="A15" s="114" t="s">
        <v>404</v>
      </c>
      <c r="B15" s="288"/>
      <c r="C15" s="293">
        <v>1932180</v>
      </c>
      <c r="D15" s="293">
        <v>1373405</v>
      </c>
      <c r="E15" s="294">
        <v>993006</v>
      </c>
      <c r="F15" s="113">
        <v>1200000</v>
      </c>
      <c r="G15" s="293">
        <v>1200000</v>
      </c>
      <c r="H15" s="294">
        <v>1200000</v>
      </c>
      <c r="I15" s="295">
        <v>1200000</v>
      </c>
      <c r="J15" s="113">
        <v>1262400</v>
      </c>
      <c r="K15" s="293">
        <v>1330570</v>
      </c>
      <c r="L15" s="294">
        <v>1402420</v>
      </c>
      <c r="M15" s="216"/>
      <c r="N15" s="217"/>
      <c r="O15" s="217"/>
      <c r="P15" s="217"/>
      <c r="Q15" s="217"/>
      <c r="R15" s="217"/>
      <c r="S15" s="217"/>
      <c r="T15" s="217"/>
      <c r="U15" s="217"/>
      <c r="V15" s="217"/>
      <c r="W15" s="217"/>
      <c r="X15" s="217"/>
    </row>
    <row r="16" spans="1:25" ht="12.75" customHeight="1" x14ac:dyDescent="0.2">
      <c r="A16" s="114" t="s">
        <v>405</v>
      </c>
      <c r="B16" s="288"/>
      <c r="C16" s="293">
        <v>2901591</v>
      </c>
      <c r="D16" s="293">
        <v>4261961</v>
      </c>
      <c r="E16" s="294">
        <v>10675069</v>
      </c>
      <c r="F16" s="113">
        <v>8085004.6399999997</v>
      </c>
      <c r="G16" s="293">
        <v>22685004.640000001</v>
      </c>
      <c r="H16" s="294">
        <v>22685004.640000001</v>
      </c>
      <c r="I16" s="295">
        <v>22685004.640000001</v>
      </c>
      <c r="J16" s="113">
        <v>23864625</v>
      </c>
      <c r="K16" s="293">
        <v>25153315</v>
      </c>
      <c r="L16" s="294">
        <v>26511594</v>
      </c>
      <c r="M16" s="216"/>
      <c r="N16" s="217"/>
      <c r="O16" s="217"/>
      <c r="P16" s="217"/>
      <c r="Q16" s="217"/>
      <c r="R16" s="217"/>
      <c r="S16" s="217"/>
      <c r="T16" s="217"/>
      <c r="U16" s="217"/>
      <c r="V16" s="217"/>
      <c r="W16" s="217"/>
      <c r="X16" s="217"/>
    </row>
    <row r="17" spans="1:24" ht="12.75" customHeight="1" x14ac:dyDescent="0.2">
      <c r="A17" s="286" t="s">
        <v>406</v>
      </c>
      <c r="B17" s="282"/>
      <c r="C17" s="293">
        <v>1813180</v>
      </c>
      <c r="D17" s="293">
        <v>1975516</v>
      </c>
      <c r="E17" s="294">
        <v>2258635</v>
      </c>
      <c r="F17" s="113">
        <v>2176014.33</v>
      </c>
      <c r="G17" s="293">
        <v>2176014.33</v>
      </c>
      <c r="H17" s="294">
        <v>2176014.33</v>
      </c>
      <c r="I17" s="295">
        <v>2176014.33</v>
      </c>
      <c r="J17" s="113">
        <v>2289167</v>
      </c>
      <c r="K17" s="293">
        <v>2412782</v>
      </c>
      <c r="L17" s="294">
        <v>2543072</v>
      </c>
      <c r="M17" s="216"/>
      <c r="N17" s="217"/>
      <c r="O17" s="217"/>
      <c r="P17" s="217"/>
      <c r="Q17" s="217"/>
      <c r="R17" s="217"/>
      <c r="S17" s="217"/>
      <c r="T17" s="217"/>
      <c r="U17" s="217"/>
      <c r="V17" s="217"/>
      <c r="W17" s="217"/>
      <c r="X17" s="217"/>
    </row>
    <row r="18" spans="1:24" ht="12.75" customHeight="1" x14ac:dyDescent="0.2">
      <c r="A18" s="114" t="s">
        <v>407</v>
      </c>
      <c r="B18" s="288"/>
      <c r="C18" s="293">
        <v>212960000</v>
      </c>
      <c r="D18" s="293">
        <v>209514001</v>
      </c>
      <c r="E18" s="294">
        <f>291695123-64658124</f>
        <v>227036999</v>
      </c>
      <c r="F18" s="113">
        <v>248358000</v>
      </c>
      <c r="G18" s="293">
        <v>248358000</v>
      </c>
      <c r="H18" s="294">
        <v>248358000</v>
      </c>
      <c r="I18" s="295">
        <v>248358000</v>
      </c>
      <c r="J18" s="113">
        <v>281624000</v>
      </c>
      <c r="K18" s="293">
        <v>300105000</v>
      </c>
      <c r="L18" s="294">
        <v>321890000</v>
      </c>
      <c r="M18" s="243"/>
      <c r="N18" s="217"/>
      <c r="O18" s="217"/>
      <c r="P18" s="217"/>
      <c r="Q18" s="217"/>
      <c r="R18" s="217"/>
      <c r="S18" s="217"/>
      <c r="T18" s="217"/>
      <c r="U18" s="217"/>
      <c r="V18" s="217"/>
      <c r="W18" s="217"/>
      <c r="X18" s="217"/>
    </row>
    <row r="19" spans="1:24" ht="12.75" customHeight="1" x14ac:dyDescent="0.2">
      <c r="A19" s="114" t="s">
        <v>408</v>
      </c>
      <c r="B19" s="288">
        <v>2</v>
      </c>
      <c r="C19" s="106">
        <f>[2]SA1!C49</f>
        <v>3280960</v>
      </c>
      <c r="D19" s="106">
        <f>[2]SA1!D49</f>
        <v>1239860</v>
      </c>
      <c r="E19" s="168">
        <f>[2]SA1!E49</f>
        <v>842364</v>
      </c>
      <c r="F19" s="174">
        <f>[2]SA1!F49</f>
        <v>34785582.68</v>
      </c>
      <c r="G19" s="53">
        <f>[2]SA1!G49</f>
        <v>37400569.68</v>
      </c>
      <c r="H19" s="168">
        <f>[2]SA1!H49</f>
        <v>37400569.68</v>
      </c>
      <c r="I19" s="168">
        <f>[2]SA1!I49</f>
        <v>37400569.68</v>
      </c>
      <c r="J19" s="81">
        <f>[2]SA1!J49</f>
        <v>14747535</v>
      </c>
      <c r="K19" s="53">
        <f>[2]SA1!K49</f>
        <v>15543903</v>
      </c>
      <c r="L19" s="168">
        <f>[2]SA1!L49</f>
        <v>16383272</v>
      </c>
      <c r="M19" s="243"/>
      <c r="N19" s="217"/>
      <c r="O19" s="217"/>
      <c r="P19" s="217"/>
      <c r="Q19" s="217"/>
      <c r="R19" s="217"/>
      <c r="S19" s="217"/>
      <c r="T19" s="217"/>
      <c r="U19" s="217"/>
      <c r="V19" s="217"/>
      <c r="W19" s="217"/>
      <c r="X19" s="217"/>
    </row>
    <row r="20" spans="1:24" ht="12.75" customHeight="1" x14ac:dyDescent="0.2">
      <c r="A20" s="114" t="s">
        <v>409</v>
      </c>
      <c r="B20" s="288"/>
      <c r="C20" s="293">
        <v>0</v>
      </c>
      <c r="D20" s="78">
        <v>0</v>
      </c>
      <c r="E20" s="241">
        <v>203602</v>
      </c>
      <c r="F20" s="167">
        <v>577000</v>
      </c>
      <c r="G20" s="78">
        <v>577000</v>
      </c>
      <c r="H20" s="241">
        <v>577000</v>
      </c>
      <c r="I20" s="242">
        <v>577000</v>
      </c>
      <c r="J20" s="61">
        <v>607004</v>
      </c>
      <c r="K20" s="78">
        <v>639782</v>
      </c>
      <c r="L20" s="241">
        <v>674330</v>
      </c>
      <c r="M20" s="243"/>
      <c r="N20" s="217"/>
      <c r="O20" s="217"/>
      <c r="P20" s="217"/>
      <c r="Q20" s="217"/>
      <c r="R20" s="217"/>
      <c r="S20" s="217"/>
      <c r="T20" s="217"/>
      <c r="U20" s="217"/>
      <c r="V20" s="217"/>
      <c r="W20" s="217"/>
      <c r="X20" s="217"/>
    </row>
    <row r="21" spans="1:24" ht="24" customHeight="1" x14ac:dyDescent="0.2">
      <c r="A21" s="296" t="s">
        <v>410</v>
      </c>
      <c r="B21" s="297"/>
      <c r="C21" s="80">
        <f>SUM(C5:C9)+SUM(C11:C20)</f>
        <v>256563325</v>
      </c>
      <c r="D21" s="80">
        <f t="shared" ref="D21:L21" si="0">SUM(D5:D9)+SUM(D11:D20)</f>
        <v>259236856</v>
      </c>
      <c r="E21" s="298">
        <f t="shared" si="0"/>
        <v>279554821</v>
      </c>
      <c r="F21" s="299">
        <f t="shared" si="0"/>
        <v>340264680.23000002</v>
      </c>
      <c r="G21" s="80">
        <f t="shared" si="0"/>
        <v>386681881.23000002</v>
      </c>
      <c r="H21" s="298">
        <f t="shared" si="0"/>
        <v>386681881.23000002</v>
      </c>
      <c r="I21" s="299">
        <f t="shared" si="0"/>
        <v>385635740.23000002</v>
      </c>
      <c r="J21" s="300">
        <f t="shared" si="0"/>
        <v>402534443</v>
      </c>
      <c r="K21" s="80">
        <f t="shared" si="0"/>
        <v>427544608</v>
      </c>
      <c r="L21" s="298">
        <f t="shared" si="0"/>
        <v>456211346</v>
      </c>
      <c r="M21" s="223">
        <f t="shared" ref="M21:X21" si="1">SUM(M5:M20)</f>
        <v>0</v>
      </c>
      <c r="N21" s="224">
        <f t="shared" si="1"/>
        <v>0</v>
      </c>
      <c r="O21" s="224">
        <f t="shared" si="1"/>
        <v>0</v>
      </c>
      <c r="P21" s="224">
        <f t="shared" si="1"/>
        <v>0</v>
      </c>
      <c r="Q21" s="224">
        <f t="shared" si="1"/>
        <v>0</v>
      </c>
      <c r="R21" s="224">
        <f t="shared" si="1"/>
        <v>0</v>
      </c>
      <c r="S21" s="224">
        <f t="shared" si="1"/>
        <v>0</v>
      </c>
      <c r="T21" s="224">
        <f t="shared" si="1"/>
        <v>0</v>
      </c>
      <c r="U21" s="224">
        <f t="shared" si="1"/>
        <v>0</v>
      </c>
      <c r="V21" s="224">
        <f t="shared" si="1"/>
        <v>0</v>
      </c>
      <c r="W21" s="224">
        <f t="shared" si="1"/>
        <v>0</v>
      </c>
      <c r="X21" s="224">
        <f t="shared" si="1"/>
        <v>0</v>
      </c>
    </row>
    <row r="22" spans="1:24" ht="4.95" customHeight="1" x14ac:dyDescent="0.2">
      <c r="A22" s="173"/>
      <c r="B22" s="288"/>
      <c r="C22" s="53"/>
      <c r="D22" s="53"/>
      <c r="E22" s="168"/>
      <c r="F22" s="174"/>
      <c r="G22" s="53"/>
      <c r="H22" s="168"/>
      <c r="I22" s="287"/>
      <c r="J22" s="89"/>
      <c r="K22" s="53"/>
      <c r="L22" s="168"/>
      <c r="M22" s="216"/>
      <c r="N22" s="217"/>
      <c r="O22" s="217"/>
      <c r="P22" s="217"/>
      <c r="Q22" s="217"/>
      <c r="R22" s="217"/>
      <c r="S22" s="217"/>
      <c r="T22" s="217"/>
      <c r="U22" s="217"/>
      <c r="V22" s="217"/>
      <c r="W22" s="217"/>
      <c r="X22" s="217"/>
    </row>
    <row r="23" spans="1:24" ht="11.25" customHeight="1" x14ac:dyDescent="0.2">
      <c r="A23" s="161" t="s">
        <v>411</v>
      </c>
      <c r="B23" s="301"/>
      <c r="C23" s="53"/>
      <c r="D23" s="53"/>
      <c r="E23" s="168"/>
      <c r="F23" s="174"/>
      <c r="G23" s="53"/>
      <c r="H23" s="168"/>
      <c r="I23" s="287"/>
      <c r="J23" s="89"/>
      <c r="K23" s="53"/>
      <c r="L23" s="168"/>
      <c r="M23" s="216"/>
      <c r="N23" s="217"/>
      <c r="O23" s="217"/>
      <c r="P23" s="217"/>
      <c r="Q23" s="217"/>
      <c r="R23" s="217"/>
      <c r="S23" s="217"/>
      <c r="T23" s="217"/>
      <c r="U23" s="217"/>
      <c r="V23" s="217"/>
      <c r="W23" s="217"/>
      <c r="X23" s="217"/>
    </row>
    <row r="24" spans="1:24" ht="11.25" customHeight="1" x14ac:dyDescent="0.2">
      <c r="A24" s="286" t="s">
        <v>412</v>
      </c>
      <c r="B24" s="282">
        <v>2</v>
      </c>
      <c r="C24" s="53">
        <f>[2]SA1!C67</f>
        <v>64406539</v>
      </c>
      <c r="D24" s="106">
        <f>[2]SA1!D67</f>
        <v>68377015</v>
      </c>
      <c r="E24" s="168">
        <f>[2]SA1!E67</f>
        <v>74714220</v>
      </c>
      <c r="F24" s="174">
        <f>[2]SA1!F67</f>
        <v>78303797.25</v>
      </c>
      <c r="G24" s="53">
        <f>[2]SA1!G67</f>
        <v>95266292.25</v>
      </c>
      <c r="H24" s="168">
        <f>[2]SA1!H67</f>
        <v>95266292.25</v>
      </c>
      <c r="I24" s="287">
        <f>[2]SA1!I67</f>
        <v>95266292.25</v>
      </c>
      <c r="J24" s="89">
        <f>[2]SA1!J67</f>
        <v>107636135</v>
      </c>
      <c r="K24" s="53">
        <f>[2]SA1!K67</f>
        <v>115063029</v>
      </c>
      <c r="L24" s="168">
        <f>[2]SA1!L67</f>
        <v>123002381</v>
      </c>
      <c r="M24" s="216"/>
      <c r="N24" s="217"/>
      <c r="O24" s="217"/>
      <c r="P24" s="217"/>
      <c r="Q24" s="217"/>
      <c r="R24" s="217"/>
      <c r="S24" s="217"/>
      <c r="T24" s="217"/>
      <c r="U24" s="217"/>
      <c r="V24" s="217"/>
      <c r="W24" s="217"/>
      <c r="X24" s="217"/>
    </row>
    <row r="25" spans="1:24" ht="11.25" customHeight="1" x14ac:dyDescent="0.2">
      <c r="A25" s="286" t="s">
        <v>413</v>
      </c>
      <c r="B25" s="282"/>
      <c r="C25" s="78">
        <v>17728499</v>
      </c>
      <c r="D25" s="78">
        <v>18896474</v>
      </c>
      <c r="E25" s="241">
        <v>20873647</v>
      </c>
      <c r="F25" s="167">
        <v>22467855</v>
      </c>
      <c r="G25" s="78">
        <v>22882032</v>
      </c>
      <c r="H25" s="241">
        <v>22882032</v>
      </c>
      <c r="I25" s="242">
        <v>22882032</v>
      </c>
      <c r="J25" s="61">
        <v>24071901</v>
      </c>
      <c r="K25" s="78">
        <v>25371784</v>
      </c>
      <c r="L25" s="241">
        <v>26741860</v>
      </c>
      <c r="M25" s="216"/>
      <c r="N25" s="217"/>
      <c r="O25" s="217"/>
      <c r="P25" s="217"/>
      <c r="Q25" s="217"/>
      <c r="R25" s="217"/>
      <c r="S25" s="217"/>
      <c r="T25" s="217"/>
      <c r="U25" s="217"/>
      <c r="V25" s="217"/>
      <c r="W25" s="217"/>
      <c r="X25" s="217"/>
    </row>
    <row r="26" spans="1:24" ht="11.25" customHeight="1" x14ac:dyDescent="0.2">
      <c r="A26" s="286" t="s">
        <v>414</v>
      </c>
      <c r="B26" s="282">
        <v>3</v>
      </c>
      <c r="C26" s="78">
        <v>9513612</v>
      </c>
      <c r="D26" s="78">
        <v>24545889</v>
      </c>
      <c r="E26" s="241">
        <v>19199926</v>
      </c>
      <c r="F26" s="167">
        <v>1956620.19</v>
      </c>
      <c r="G26" s="78">
        <v>1956620.19</v>
      </c>
      <c r="H26" s="241">
        <v>1956620.19</v>
      </c>
      <c r="I26" s="242">
        <v>1956620.19</v>
      </c>
      <c r="J26" s="61">
        <v>2058364</v>
      </c>
      <c r="K26" s="78">
        <v>2169516</v>
      </c>
      <c r="L26" s="241">
        <v>2286670</v>
      </c>
      <c r="M26" s="216"/>
      <c r="N26" s="217"/>
      <c r="O26" s="217"/>
      <c r="P26" s="217"/>
      <c r="Q26" s="217"/>
      <c r="R26" s="217"/>
      <c r="S26" s="217"/>
      <c r="T26" s="217"/>
      <c r="U26" s="217"/>
      <c r="V26" s="217"/>
      <c r="W26" s="217"/>
      <c r="X26" s="217"/>
    </row>
    <row r="27" spans="1:24" ht="11.25" customHeight="1" x14ac:dyDescent="0.2">
      <c r="A27" s="286" t="s">
        <v>415</v>
      </c>
      <c r="B27" s="282">
        <v>2</v>
      </c>
      <c r="C27" s="53">
        <f>[2]SA1!C83</f>
        <v>21569539</v>
      </c>
      <c r="D27" s="106">
        <f>[2]SA1!D83</f>
        <v>31106428</v>
      </c>
      <c r="E27" s="168">
        <f>[2]SA1!E83</f>
        <v>28680829</v>
      </c>
      <c r="F27" s="174">
        <f>[2]SA1!F83</f>
        <v>5043379.8099999996</v>
      </c>
      <c r="G27" s="53">
        <f>[2]SA1!G83</f>
        <v>5942210.8099999996</v>
      </c>
      <c r="H27" s="168">
        <f>[2]SA1!H83</f>
        <v>5942210.8099999996</v>
      </c>
      <c r="I27" s="287">
        <f>[2]SA1!I83</f>
        <v>5942210.8099999996</v>
      </c>
      <c r="J27" s="89">
        <f>[2]SA1!J83</f>
        <v>6251207</v>
      </c>
      <c r="K27" s="53">
        <f>[2]SA1!K83</f>
        <v>6588772</v>
      </c>
      <c r="L27" s="168">
        <f>[2]SA1!L83</f>
        <v>6944565</v>
      </c>
      <c r="M27" s="243"/>
      <c r="N27" s="244"/>
      <c r="O27" s="244"/>
      <c r="P27" s="244"/>
      <c r="Q27" s="244"/>
      <c r="R27" s="244"/>
      <c r="S27" s="244"/>
      <c r="T27" s="244"/>
      <c r="U27" s="244"/>
      <c r="V27" s="244"/>
      <c r="W27" s="244"/>
      <c r="X27" s="244"/>
    </row>
    <row r="28" spans="1:24" ht="11.25" customHeight="1" x14ac:dyDescent="0.2">
      <c r="A28" s="286" t="s">
        <v>416</v>
      </c>
      <c r="B28" s="282"/>
      <c r="C28" s="78">
        <v>0</v>
      </c>
      <c r="D28" s="78">
        <v>0</v>
      </c>
      <c r="E28" s="241">
        <v>0</v>
      </c>
      <c r="F28" s="167">
        <v>0</v>
      </c>
      <c r="G28" s="78">
        <v>0</v>
      </c>
      <c r="H28" s="241">
        <v>0</v>
      </c>
      <c r="I28" s="242">
        <v>0</v>
      </c>
      <c r="J28" s="61">
        <v>0</v>
      </c>
      <c r="K28" s="78">
        <v>0</v>
      </c>
      <c r="L28" s="241">
        <v>0</v>
      </c>
      <c r="M28" s="216"/>
      <c r="N28" s="217"/>
      <c r="O28" s="217"/>
      <c r="P28" s="217"/>
      <c r="Q28" s="217"/>
      <c r="R28" s="217"/>
      <c r="S28" s="217"/>
      <c r="T28" s="217"/>
      <c r="U28" s="217"/>
      <c r="V28" s="217"/>
      <c r="W28" s="217"/>
      <c r="X28" s="217"/>
    </row>
    <row r="29" spans="1:24" ht="11.25" customHeight="1" x14ac:dyDescent="0.2">
      <c r="A29" s="286" t="s">
        <v>417</v>
      </c>
      <c r="B29" s="282">
        <v>2</v>
      </c>
      <c r="C29" s="53">
        <f>[2]SA1!C88</f>
        <v>8728768</v>
      </c>
      <c r="D29" s="106">
        <f>[2]SA1!D88</f>
        <v>13029942</v>
      </c>
      <c r="E29" s="168">
        <f>[2]SA1!E88</f>
        <v>14679655</v>
      </c>
      <c r="F29" s="174">
        <f>[2]SA1!F88</f>
        <v>17096559</v>
      </c>
      <c r="G29" s="53">
        <f>[2]SA1!G88</f>
        <v>17096559</v>
      </c>
      <c r="H29" s="168">
        <f>[2]SA1!H88</f>
        <v>17096559</v>
      </c>
      <c r="I29" s="287">
        <f>[2]SA1!I88</f>
        <v>17096559</v>
      </c>
      <c r="J29" s="89">
        <f>[2]SA1!J88</f>
        <v>17985580</v>
      </c>
      <c r="K29" s="53">
        <f>[2]SA1!K88</f>
        <v>18956801</v>
      </c>
      <c r="L29" s="168">
        <f>[2]SA1!L88</f>
        <v>19980468</v>
      </c>
      <c r="M29" s="216"/>
      <c r="N29" s="217"/>
      <c r="O29" s="217"/>
      <c r="P29" s="217"/>
      <c r="Q29" s="217"/>
      <c r="R29" s="217"/>
      <c r="S29" s="217"/>
      <c r="T29" s="217"/>
      <c r="U29" s="217"/>
      <c r="V29" s="217"/>
      <c r="W29" s="217"/>
      <c r="X29" s="217"/>
    </row>
    <row r="30" spans="1:24" ht="11.25" customHeight="1" x14ac:dyDescent="0.2">
      <c r="A30" s="286" t="s">
        <v>418</v>
      </c>
      <c r="B30" s="282">
        <v>8</v>
      </c>
      <c r="C30" s="293">
        <v>0</v>
      </c>
      <c r="D30" s="293">
        <v>0</v>
      </c>
      <c r="E30" s="295">
        <v>0</v>
      </c>
      <c r="F30" s="175">
        <v>0</v>
      </c>
      <c r="G30" s="293">
        <v>0</v>
      </c>
      <c r="H30" s="295">
        <v>0</v>
      </c>
      <c r="I30" s="302">
        <v>0</v>
      </c>
      <c r="J30" s="303">
        <v>0</v>
      </c>
      <c r="K30" s="293">
        <v>0</v>
      </c>
      <c r="L30" s="295">
        <v>0</v>
      </c>
      <c r="M30" s="216"/>
      <c r="N30" s="217"/>
      <c r="O30" s="217"/>
      <c r="P30" s="217"/>
      <c r="Q30" s="217"/>
      <c r="R30" s="217"/>
      <c r="S30" s="217"/>
      <c r="T30" s="217"/>
      <c r="U30" s="217"/>
      <c r="V30" s="217"/>
      <c r="W30" s="217"/>
      <c r="X30" s="217"/>
    </row>
    <row r="31" spans="1:24" ht="11.25" customHeight="1" x14ac:dyDescent="0.2">
      <c r="A31" s="286" t="s">
        <v>419</v>
      </c>
      <c r="B31" s="282"/>
      <c r="C31" s="53">
        <f>[2]SA1!C127</f>
        <v>9272936</v>
      </c>
      <c r="D31" s="106">
        <f>[2]SA1!D127</f>
        <v>13404220</v>
      </c>
      <c r="E31" s="168">
        <f>[2]SA1!E127</f>
        <v>13883089</v>
      </c>
      <c r="F31" s="174">
        <f>[2]SA1!F127</f>
        <v>15119136.5024</v>
      </c>
      <c r="G31" s="53">
        <f>[2]SA1!G127</f>
        <v>19376165.5024</v>
      </c>
      <c r="H31" s="168">
        <f>[2]SA1!H127</f>
        <v>19376165.5024</v>
      </c>
      <c r="I31" s="287">
        <f>[2]SA1!I127</f>
        <v>19376165.5024</v>
      </c>
      <c r="J31" s="89">
        <f>[2]SA1!J127</f>
        <v>19459626</v>
      </c>
      <c r="K31" s="53">
        <f>[2]SA1!K127</f>
        <v>20510449</v>
      </c>
      <c r="L31" s="168">
        <f>[2]SA1!L127</f>
        <v>21618010</v>
      </c>
      <c r="M31" s="216"/>
      <c r="N31" s="217"/>
      <c r="O31" s="217"/>
      <c r="P31" s="217"/>
      <c r="Q31" s="217"/>
      <c r="R31" s="217"/>
      <c r="S31" s="217"/>
      <c r="T31" s="217"/>
      <c r="U31" s="217"/>
      <c r="V31" s="217"/>
      <c r="W31" s="217"/>
      <c r="X31" s="217"/>
    </row>
    <row r="32" spans="1:24" ht="11.25" customHeight="1" x14ac:dyDescent="0.2">
      <c r="A32" s="114" t="s">
        <v>407</v>
      </c>
      <c r="B32" s="282"/>
      <c r="C32" s="112">
        <f>[2]SA1!C93</f>
        <v>0</v>
      </c>
      <c r="D32" s="112">
        <f>[2]SA1!D93</f>
        <v>0</v>
      </c>
      <c r="E32" s="289">
        <f>[2]SA1!E93</f>
        <v>0</v>
      </c>
      <c r="F32" s="290">
        <f>[2]SA1!F93</f>
        <v>0</v>
      </c>
      <c r="G32" s="112">
        <f>[2]SA1!G93</f>
        <v>0</v>
      </c>
      <c r="H32" s="289">
        <f>[2]SA1!H93</f>
        <v>0</v>
      </c>
      <c r="I32" s="285">
        <f>[2]SA1!I93</f>
        <v>0</v>
      </c>
      <c r="J32" s="284">
        <f>[2]SA1!J93</f>
        <v>0</v>
      </c>
      <c r="K32" s="112">
        <f>[2]SA1!K93</f>
        <v>0</v>
      </c>
      <c r="L32" s="289">
        <f>[2]SA1!L93</f>
        <v>0</v>
      </c>
      <c r="M32" s="216"/>
      <c r="N32" s="217"/>
      <c r="O32" s="217"/>
      <c r="P32" s="217"/>
      <c r="Q32" s="217"/>
      <c r="R32" s="217"/>
      <c r="S32" s="217"/>
      <c r="T32" s="217"/>
      <c r="U32" s="217"/>
      <c r="V32" s="217"/>
      <c r="W32" s="217"/>
      <c r="X32" s="217"/>
    </row>
    <row r="33" spans="1:24" ht="11.25" customHeight="1" x14ac:dyDescent="0.2">
      <c r="A33" s="286" t="s">
        <v>420</v>
      </c>
      <c r="B33" s="282" t="s">
        <v>519</v>
      </c>
      <c r="C33" s="53">
        <f>[2]SA1!C157</f>
        <v>58298714</v>
      </c>
      <c r="D33" s="106">
        <f>[2]SA1!D157</f>
        <v>61130028</v>
      </c>
      <c r="E33" s="168">
        <f>[2]SA1!E157</f>
        <v>75634027</v>
      </c>
      <c r="F33" s="174">
        <f>[2]SA1!F157</f>
        <v>83443013.609999999</v>
      </c>
      <c r="G33" s="53">
        <f>[2]SA1!G157</f>
        <v>112943586.31</v>
      </c>
      <c r="H33" s="168">
        <f>[2]SA1!H157</f>
        <v>112943586.31</v>
      </c>
      <c r="I33" s="287">
        <f>[2]SA1!I157</f>
        <v>112943586.31</v>
      </c>
      <c r="J33" s="89">
        <f>[2]SA1!J157</f>
        <v>131125409</v>
      </c>
      <c r="K33" s="53">
        <f>[2]SA1!K157</f>
        <v>120844965</v>
      </c>
      <c r="L33" s="168">
        <f>[2]SA1!L157</f>
        <v>127437176</v>
      </c>
      <c r="M33" s="216"/>
      <c r="N33" s="217"/>
      <c r="O33" s="217"/>
      <c r="P33" s="217"/>
      <c r="Q33" s="217"/>
      <c r="R33" s="217"/>
      <c r="S33" s="217"/>
      <c r="T33" s="217"/>
      <c r="U33" s="217"/>
      <c r="V33" s="217"/>
      <c r="W33" s="217"/>
      <c r="X33" s="217"/>
    </row>
    <row r="34" spans="1:24" ht="11.25" customHeight="1" x14ac:dyDescent="0.2">
      <c r="A34" s="114" t="s">
        <v>421</v>
      </c>
      <c r="B34" s="288"/>
      <c r="C34" s="293"/>
      <c r="D34" s="293"/>
      <c r="E34" s="241"/>
      <c r="F34" s="175"/>
      <c r="G34" s="293"/>
      <c r="H34" s="241"/>
      <c r="I34" s="242"/>
      <c r="J34" s="303">
        <v>0</v>
      </c>
      <c r="K34" s="293">
        <v>0</v>
      </c>
      <c r="L34" s="295">
        <v>0</v>
      </c>
      <c r="M34" s="216"/>
      <c r="N34" s="217"/>
      <c r="O34" s="217"/>
      <c r="P34" s="217"/>
      <c r="Q34" s="217"/>
      <c r="R34" s="217"/>
      <c r="S34" s="217"/>
      <c r="T34" s="217"/>
      <c r="U34" s="217"/>
      <c r="V34" s="217"/>
      <c r="W34" s="217"/>
      <c r="X34" s="217"/>
    </row>
    <row r="35" spans="1:24" ht="11.25" customHeight="1" x14ac:dyDescent="0.2">
      <c r="A35" s="304" t="s">
        <v>422</v>
      </c>
      <c r="B35" s="297"/>
      <c r="C35" s="80">
        <f t="shared" ref="C35:X35" si="2">SUM(C24:C34)</f>
        <v>189518607</v>
      </c>
      <c r="D35" s="80">
        <f>SUM(D24:D34)</f>
        <v>230489996</v>
      </c>
      <c r="E35" s="298">
        <f t="shared" si="2"/>
        <v>247665393</v>
      </c>
      <c r="F35" s="299">
        <f t="shared" si="2"/>
        <v>223430361.3624</v>
      </c>
      <c r="G35" s="80">
        <f t="shared" si="2"/>
        <v>275463466.06239998</v>
      </c>
      <c r="H35" s="298">
        <f t="shared" si="2"/>
        <v>275463466.06239998</v>
      </c>
      <c r="I35" s="299">
        <f t="shared" si="2"/>
        <v>275463466.06239998</v>
      </c>
      <c r="J35" s="300">
        <f t="shared" si="2"/>
        <v>308588222</v>
      </c>
      <c r="K35" s="80">
        <f t="shared" si="2"/>
        <v>309505316</v>
      </c>
      <c r="L35" s="298">
        <f t="shared" si="2"/>
        <v>328011130</v>
      </c>
      <c r="M35" s="223">
        <f t="shared" si="2"/>
        <v>0</v>
      </c>
      <c r="N35" s="224">
        <f t="shared" si="2"/>
        <v>0</v>
      </c>
      <c r="O35" s="224">
        <f t="shared" si="2"/>
        <v>0</v>
      </c>
      <c r="P35" s="224">
        <f t="shared" si="2"/>
        <v>0</v>
      </c>
      <c r="Q35" s="224">
        <f t="shared" si="2"/>
        <v>0</v>
      </c>
      <c r="R35" s="224">
        <f t="shared" si="2"/>
        <v>0</v>
      </c>
      <c r="S35" s="224">
        <f t="shared" si="2"/>
        <v>0</v>
      </c>
      <c r="T35" s="224">
        <f t="shared" si="2"/>
        <v>0</v>
      </c>
      <c r="U35" s="224">
        <f t="shared" si="2"/>
        <v>0</v>
      </c>
      <c r="V35" s="224">
        <f t="shared" si="2"/>
        <v>0</v>
      </c>
      <c r="W35" s="224">
        <f t="shared" si="2"/>
        <v>0</v>
      </c>
      <c r="X35" s="224">
        <f t="shared" si="2"/>
        <v>0</v>
      </c>
    </row>
    <row r="36" spans="1:24" ht="4.95" customHeight="1" x14ac:dyDescent="0.2">
      <c r="A36" s="173"/>
      <c r="B36" s="288"/>
      <c r="C36" s="65"/>
      <c r="D36" s="65"/>
      <c r="E36" s="172"/>
      <c r="F36" s="171"/>
      <c r="G36" s="65"/>
      <c r="H36" s="172"/>
      <c r="I36" s="171"/>
      <c r="J36" s="64"/>
      <c r="K36" s="65"/>
      <c r="L36" s="172"/>
      <c r="M36" s="253"/>
      <c r="N36" s="254"/>
      <c r="O36" s="254"/>
      <c r="P36" s="254"/>
      <c r="Q36" s="254"/>
      <c r="R36" s="254"/>
      <c r="S36" s="254"/>
      <c r="T36" s="254"/>
      <c r="U36" s="254"/>
      <c r="V36" s="254"/>
      <c r="W36" s="254"/>
      <c r="X36" s="254"/>
    </row>
    <row r="37" spans="1:24" ht="12" customHeight="1" x14ac:dyDescent="0.2">
      <c r="A37" s="170" t="s">
        <v>423</v>
      </c>
      <c r="B37" s="288"/>
      <c r="C37" s="68">
        <f t="shared" ref="C37:L37" si="3">C21-C35</f>
        <v>67044718</v>
      </c>
      <c r="D37" s="68">
        <f t="shared" si="3"/>
        <v>28746860</v>
      </c>
      <c r="E37" s="249">
        <f t="shared" si="3"/>
        <v>31889428</v>
      </c>
      <c r="F37" s="250">
        <f t="shared" si="3"/>
        <v>116834318.86760002</v>
      </c>
      <c r="G37" s="68">
        <f t="shared" si="3"/>
        <v>111218415.16760004</v>
      </c>
      <c r="H37" s="249">
        <f t="shared" si="3"/>
        <v>111218415.16760004</v>
      </c>
      <c r="I37" s="250">
        <f t="shared" si="3"/>
        <v>110172274.16760004</v>
      </c>
      <c r="J37" s="252">
        <f t="shared" si="3"/>
        <v>93946221</v>
      </c>
      <c r="K37" s="68">
        <f t="shared" si="3"/>
        <v>118039292</v>
      </c>
      <c r="L37" s="249">
        <f t="shared" si="3"/>
        <v>128200216</v>
      </c>
      <c r="M37" s="253">
        <f t="shared" ref="M37:X37" si="4">M21+M35</f>
        <v>0</v>
      </c>
      <c r="N37" s="254">
        <f t="shared" si="4"/>
        <v>0</v>
      </c>
      <c r="O37" s="254">
        <f t="shared" si="4"/>
        <v>0</v>
      </c>
      <c r="P37" s="254">
        <f t="shared" si="4"/>
        <v>0</v>
      </c>
      <c r="Q37" s="254">
        <f t="shared" si="4"/>
        <v>0</v>
      </c>
      <c r="R37" s="254">
        <f t="shared" si="4"/>
        <v>0</v>
      </c>
      <c r="S37" s="254">
        <f t="shared" si="4"/>
        <v>0</v>
      </c>
      <c r="T37" s="254">
        <f t="shared" si="4"/>
        <v>0</v>
      </c>
      <c r="U37" s="254">
        <f t="shared" si="4"/>
        <v>0</v>
      </c>
      <c r="V37" s="254">
        <f t="shared" si="4"/>
        <v>0</v>
      </c>
      <c r="W37" s="254">
        <f t="shared" si="4"/>
        <v>0</v>
      </c>
      <c r="X37" s="254">
        <f t="shared" si="4"/>
        <v>0</v>
      </c>
    </row>
    <row r="38" spans="1:24" ht="22.95" customHeight="1" x14ac:dyDescent="0.2">
      <c r="A38" s="117" t="s">
        <v>424</v>
      </c>
      <c r="B38" s="288"/>
      <c r="C38" s="78">
        <v>89159710</v>
      </c>
      <c r="D38" s="78">
        <v>61332323</v>
      </c>
      <c r="E38" s="241">
        <v>64658124</v>
      </c>
      <c r="F38" s="167">
        <v>62443000</v>
      </c>
      <c r="G38" s="78">
        <f>62443000+20000000</f>
        <v>82443000</v>
      </c>
      <c r="H38" s="78">
        <f>62443000+20000000</f>
        <v>82443000</v>
      </c>
      <c r="I38" s="78">
        <f>62443000+20000000</f>
        <v>82443000</v>
      </c>
      <c r="J38" s="61">
        <v>57608000</v>
      </c>
      <c r="K38" s="78">
        <f>60783000+7000000</f>
        <v>67783000</v>
      </c>
      <c r="L38" s="241">
        <f>65351000+7000000</f>
        <v>72351000</v>
      </c>
      <c r="M38" s="216"/>
      <c r="N38" s="217"/>
      <c r="O38" s="217"/>
      <c r="P38" s="217"/>
      <c r="Q38" s="217"/>
      <c r="R38" s="217"/>
      <c r="S38" s="217"/>
      <c r="T38" s="217"/>
      <c r="U38" s="217"/>
      <c r="V38" s="217"/>
      <c r="W38" s="217"/>
      <c r="X38" s="217"/>
    </row>
    <row r="39" spans="1:24" ht="51.45" customHeight="1" x14ac:dyDescent="0.2">
      <c r="A39" s="117" t="s">
        <v>425</v>
      </c>
      <c r="B39" s="288">
        <v>6</v>
      </c>
      <c r="C39" s="53">
        <f>[2]SA1!C76</f>
        <v>0</v>
      </c>
      <c r="D39" s="106">
        <f>[2]SA1!D76</f>
        <v>0</v>
      </c>
      <c r="E39" s="168">
        <f>[2]SA1!E76</f>
        <v>0</v>
      </c>
      <c r="F39" s="174">
        <f>[2]SA1!F76</f>
        <v>0</v>
      </c>
      <c r="G39" s="53">
        <f>[2]SA1!G76</f>
        <v>0</v>
      </c>
      <c r="H39" s="168">
        <f>[2]SA1!H76</f>
        <v>0</v>
      </c>
      <c r="I39" s="287">
        <f>[2]SA1!I76</f>
        <v>0</v>
      </c>
      <c r="J39" s="89">
        <f>[2]SA1!J76</f>
        <v>0</v>
      </c>
      <c r="K39" s="53">
        <f>[2]SA1!K76</f>
        <v>0</v>
      </c>
      <c r="L39" s="168">
        <f>[2]SA1!L76</f>
        <v>0</v>
      </c>
      <c r="M39" s="216"/>
      <c r="N39" s="217"/>
      <c r="O39" s="217"/>
      <c r="P39" s="217"/>
      <c r="Q39" s="217"/>
      <c r="R39" s="217"/>
      <c r="S39" s="217"/>
      <c r="T39" s="217"/>
      <c r="U39" s="217"/>
      <c r="V39" s="217"/>
      <c r="W39" s="217"/>
      <c r="X39" s="217"/>
    </row>
    <row r="40" spans="1:24" ht="11.25" customHeight="1" x14ac:dyDescent="0.2">
      <c r="A40" s="114" t="s">
        <v>426</v>
      </c>
      <c r="B40" s="288"/>
      <c r="C40" s="293"/>
      <c r="D40" s="78"/>
      <c r="E40" s="241"/>
      <c r="F40" s="305"/>
      <c r="G40" s="306"/>
      <c r="H40" s="307"/>
      <c r="I40" s="242"/>
      <c r="J40" s="308"/>
      <c r="K40" s="306"/>
      <c r="L40" s="307"/>
      <c r="M40" s="216"/>
      <c r="N40" s="217"/>
      <c r="O40" s="217"/>
      <c r="P40" s="217"/>
      <c r="Q40" s="217"/>
      <c r="R40" s="217"/>
      <c r="S40" s="217"/>
      <c r="T40" s="217"/>
      <c r="U40" s="217"/>
      <c r="V40" s="217"/>
      <c r="W40" s="217"/>
      <c r="X40" s="217"/>
    </row>
    <row r="41" spans="1:24" ht="20.399999999999999" x14ac:dyDescent="0.2">
      <c r="A41" s="309" t="s">
        <v>449</v>
      </c>
      <c r="B41" s="288"/>
      <c r="C41" s="310">
        <f t="shared" ref="C41:L41" si="5">SUM(C37:C40)</f>
        <v>156204428</v>
      </c>
      <c r="D41" s="310">
        <f t="shared" si="5"/>
        <v>90079183</v>
      </c>
      <c r="E41" s="311">
        <f t="shared" si="5"/>
        <v>96547552</v>
      </c>
      <c r="F41" s="312">
        <f t="shared" si="5"/>
        <v>179277318.86760002</v>
      </c>
      <c r="G41" s="310">
        <f t="shared" si="5"/>
        <v>193661415.16760004</v>
      </c>
      <c r="H41" s="311">
        <f t="shared" si="5"/>
        <v>193661415.16760004</v>
      </c>
      <c r="I41" s="312">
        <f t="shared" si="5"/>
        <v>192615274.16760004</v>
      </c>
      <c r="J41" s="313">
        <f t="shared" si="5"/>
        <v>151554221</v>
      </c>
      <c r="K41" s="310">
        <f t="shared" si="5"/>
        <v>185822292</v>
      </c>
      <c r="L41" s="311">
        <f t="shared" si="5"/>
        <v>200551216</v>
      </c>
      <c r="M41" s="216"/>
      <c r="N41" s="217"/>
      <c r="O41" s="217"/>
      <c r="P41" s="217"/>
      <c r="Q41" s="217"/>
      <c r="R41" s="217"/>
      <c r="S41" s="217"/>
      <c r="T41" s="217"/>
      <c r="U41" s="217"/>
      <c r="V41" s="217"/>
      <c r="W41" s="217"/>
      <c r="X41" s="217"/>
    </row>
    <row r="42" spans="1:24" ht="11.25" customHeight="1" x14ac:dyDescent="0.2">
      <c r="A42" s="114" t="s">
        <v>427</v>
      </c>
      <c r="B42" s="288"/>
      <c r="C42" s="293"/>
      <c r="D42" s="293"/>
      <c r="E42" s="295"/>
      <c r="F42" s="175"/>
      <c r="G42" s="293"/>
      <c r="H42" s="295"/>
      <c r="I42" s="175"/>
      <c r="J42" s="303"/>
      <c r="K42" s="293"/>
      <c r="L42" s="295"/>
      <c r="M42" s="216"/>
      <c r="N42" s="217"/>
      <c r="O42" s="217"/>
      <c r="P42" s="217"/>
      <c r="Q42" s="217"/>
      <c r="R42" s="217"/>
      <c r="S42" s="217"/>
      <c r="T42" s="217"/>
      <c r="U42" s="217"/>
      <c r="V42" s="217"/>
      <c r="W42" s="217"/>
      <c r="X42" s="217"/>
    </row>
    <row r="43" spans="1:24" ht="11.25" customHeight="1" x14ac:dyDescent="0.2">
      <c r="A43" s="314" t="s">
        <v>428</v>
      </c>
      <c r="B43" s="288"/>
      <c r="C43" s="65">
        <f t="shared" ref="C43:L43" si="6">C41-C42</f>
        <v>156204428</v>
      </c>
      <c r="D43" s="65">
        <f t="shared" si="6"/>
        <v>90079183</v>
      </c>
      <c r="E43" s="172">
        <f t="shared" si="6"/>
        <v>96547552</v>
      </c>
      <c r="F43" s="171">
        <f t="shared" si="6"/>
        <v>179277318.86760002</v>
      </c>
      <c r="G43" s="65">
        <f t="shared" si="6"/>
        <v>193661415.16760004</v>
      </c>
      <c r="H43" s="172">
        <f t="shared" si="6"/>
        <v>193661415.16760004</v>
      </c>
      <c r="I43" s="171">
        <f t="shared" si="6"/>
        <v>192615274.16760004</v>
      </c>
      <c r="J43" s="64">
        <f t="shared" si="6"/>
        <v>151554221</v>
      </c>
      <c r="K43" s="65">
        <f t="shared" si="6"/>
        <v>185822292</v>
      </c>
      <c r="L43" s="172">
        <f t="shared" si="6"/>
        <v>200551216</v>
      </c>
      <c r="M43" s="216"/>
      <c r="N43" s="217"/>
      <c r="O43" s="217"/>
      <c r="P43" s="217"/>
      <c r="Q43" s="217"/>
      <c r="R43" s="217"/>
      <c r="S43" s="217"/>
      <c r="T43" s="217"/>
      <c r="U43" s="217"/>
      <c r="V43" s="217"/>
      <c r="W43" s="217"/>
      <c r="X43" s="217"/>
    </row>
    <row r="44" spans="1:24" ht="11.25" customHeight="1" x14ac:dyDescent="0.2">
      <c r="A44" s="114" t="s">
        <v>429</v>
      </c>
      <c r="B44" s="288"/>
      <c r="C44" s="293"/>
      <c r="D44" s="293"/>
      <c r="E44" s="295"/>
      <c r="F44" s="175"/>
      <c r="G44" s="293"/>
      <c r="H44" s="295"/>
      <c r="I44" s="175"/>
      <c r="J44" s="303"/>
      <c r="K44" s="293"/>
      <c r="L44" s="295"/>
      <c r="M44" s="216"/>
      <c r="N44" s="217"/>
      <c r="O44" s="217"/>
      <c r="P44" s="217"/>
      <c r="Q44" s="217"/>
      <c r="R44" s="217"/>
      <c r="S44" s="217"/>
      <c r="T44" s="217"/>
      <c r="U44" s="217"/>
      <c r="V44" s="217"/>
      <c r="W44" s="217"/>
      <c r="X44" s="217"/>
    </row>
    <row r="45" spans="1:24" x14ac:dyDescent="0.2">
      <c r="A45" s="314" t="s">
        <v>430</v>
      </c>
      <c r="B45" s="288"/>
      <c r="C45" s="310">
        <f t="shared" ref="C45:L45" si="7">SUM(C43:C44)</f>
        <v>156204428</v>
      </c>
      <c r="D45" s="310">
        <f t="shared" si="7"/>
        <v>90079183</v>
      </c>
      <c r="E45" s="311">
        <f t="shared" si="7"/>
        <v>96547552</v>
      </c>
      <c r="F45" s="312">
        <f t="shared" si="7"/>
        <v>179277318.86760002</v>
      </c>
      <c r="G45" s="310">
        <f t="shared" si="7"/>
        <v>193661415.16760004</v>
      </c>
      <c r="H45" s="311">
        <f t="shared" si="7"/>
        <v>193661415.16760004</v>
      </c>
      <c r="I45" s="312">
        <f t="shared" si="7"/>
        <v>192615274.16760004</v>
      </c>
      <c r="J45" s="313">
        <f t="shared" si="7"/>
        <v>151554221</v>
      </c>
      <c r="K45" s="310">
        <f t="shared" si="7"/>
        <v>185822292</v>
      </c>
      <c r="L45" s="311">
        <f t="shared" si="7"/>
        <v>200551216</v>
      </c>
      <c r="M45" s="216"/>
      <c r="N45" s="217"/>
      <c r="O45" s="217"/>
      <c r="P45" s="217"/>
      <c r="Q45" s="217"/>
      <c r="R45" s="217"/>
      <c r="S45" s="217"/>
      <c r="T45" s="217"/>
      <c r="U45" s="217"/>
      <c r="V45" s="217"/>
      <c r="W45" s="217"/>
      <c r="X45" s="217"/>
    </row>
    <row r="46" spans="1:24" x14ac:dyDescent="0.2">
      <c r="A46" s="117" t="s">
        <v>431</v>
      </c>
      <c r="B46" s="288">
        <v>7</v>
      </c>
      <c r="C46" s="293"/>
      <c r="D46" s="293"/>
      <c r="E46" s="295"/>
      <c r="F46" s="167"/>
      <c r="G46" s="78"/>
      <c r="H46" s="241"/>
      <c r="I46" s="167"/>
      <c r="J46" s="61"/>
      <c r="K46" s="78"/>
      <c r="L46" s="241"/>
      <c r="M46" s="216"/>
      <c r="N46" s="217"/>
      <c r="O46" s="217"/>
      <c r="P46" s="217"/>
      <c r="Q46" s="217"/>
      <c r="R46" s="217"/>
      <c r="S46" s="217"/>
      <c r="T46" s="217"/>
      <c r="U46" s="217"/>
      <c r="V46" s="217"/>
      <c r="W46" s="217"/>
      <c r="X46" s="217"/>
    </row>
    <row r="47" spans="1:24" ht="10.8" thickBot="1" x14ac:dyDescent="0.25">
      <c r="A47" s="315">
        <f>result</f>
        <v>0</v>
      </c>
      <c r="B47" s="316"/>
      <c r="C47" s="178">
        <f t="shared" ref="C47:L47" si="8">SUM(C45:C46)</f>
        <v>156204428</v>
      </c>
      <c r="D47" s="69">
        <f t="shared" si="8"/>
        <v>90079183</v>
      </c>
      <c r="E47" s="181">
        <f t="shared" si="8"/>
        <v>96547552</v>
      </c>
      <c r="F47" s="177">
        <f t="shared" si="8"/>
        <v>179277318.86760002</v>
      </c>
      <c r="G47" s="69">
        <f t="shared" si="8"/>
        <v>193661415.16760004</v>
      </c>
      <c r="H47" s="256">
        <f t="shared" si="8"/>
        <v>193661415.16760004</v>
      </c>
      <c r="I47" s="257">
        <f t="shared" si="8"/>
        <v>192615274.16760004</v>
      </c>
      <c r="J47" s="91">
        <f t="shared" si="8"/>
        <v>151554221</v>
      </c>
      <c r="K47" s="69">
        <f t="shared" si="8"/>
        <v>185822292</v>
      </c>
      <c r="L47" s="256">
        <f t="shared" si="8"/>
        <v>200551216</v>
      </c>
      <c r="M47" s="259">
        <f t="shared" ref="M47:X47" si="9">M25+M46</f>
        <v>0</v>
      </c>
      <c r="N47" s="260">
        <f t="shared" si="9"/>
        <v>0</v>
      </c>
      <c r="O47" s="260">
        <f t="shared" si="9"/>
        <v>0</v>
      </c>
      <c r="P47" s="260">
        <f t="shared" si="9"/>
        <v>0</v>
      </c>
      <c r="Q47" s="260">
        <f t="shared" si="9"/>
        <v>0</v>
      </c>
      <c r="R47" s="260">
        <f t="shared" si="9"/>
        <v>0</v>
      </c>
      <c r="S47" s="260">
        <f t="shared" si="9"/>
        <v>0</v>
      </c>
      <c r="T47" s="260">
        <f t="shared" si="9"/>
        <v>0</v>
      </c>
      <c r="U47" s="260">
        <f t="shared" si="9"/>
        <v>0</v>
      </c>
      <c r="V47" s="260">
        <f t="shared" si="9"/>
        <v>0</v>
      </c>
      <c r="W47" s="260">
        <f t="shared" si="9"/>
        <v>0</v>
      </c>
      <c r="X47" s="260">
        <f t="shared" si="9"/>
        <v>0</v>
      </c>
    </row>
    <row r="48" spans="1:24" ht="10.8" thickTop="1" x14ac:dyDescent="0.2">
      <c r="A48" s="317">
        <f>head27a</f>
        <v>2</v>
      </c>
      <c r="B48" s="318"/>
      <c r="C48" s="319"/>
      <c r="D48" s="319"/>
      <c r="E48" s="319"/>
      <c r="F48" s="319"/>
      <c r="G48" s="319"/>
      <c r="H48" s="319"/>
      <c r="I48" s="319"/>
      <c r="J48" s="319"/>
      <c r="K48" s="319"/>
      <c r="L48" s="319"/>
      <c r="M48" s="107"/>
      <c r="N48" s="107"/>
      <c r="O48" s="107"/>
      <c r="P48" s="107"/>
      <c r="Q48" s="107"/>
      <c r="R48" s="107"/>
      <c r="S48" s="107"/>
      <c r="T48" s="107"/>
      <c r="U48" s="107"/>
      <c r="V48" s="107"/>
      <c r="W48" s="107"/>
      <c r="X48" s="107"/>
    </row>
    <row r="49" spans="1:13" ht="11.25" customHeight="1" x14ac:dyDescent="0.2">
      <c r="A49" s="84" t="s">
        <v>432</v>
      </c>
      <c r="B49" s="318"/>
      <c r="C49" s="320"/>
      <c r="D49" s="320"/>
      <c r="E49" s="319"/>
      <c r="F49" s="319"/>
      <c r="G49" s="319"/>
      <c r="H49" s="319"/>
      <c r="I49" s="319"/>
      <c r="J49" s="319"/>
      <c r="K49" s="319"/>
      <c r="L49" s="319"/>
    </row>
    <row r="50" spans="1:13" ht="11.25" customHeight="1" x14ac:dyDescent="0.2">
      <c r="A50" s="321" t="s">
        <v>520</v>
      </c>
      <c r="B50" s="318"/>
      <c r="C50" s="319"/>
      <c r="D50" s="320"/>
      <c r="E50" s="319"/>
      <c r="F50" s="319"/>
      <c r="G50" s="319"/>
      <c r="H50" s="319"/>
      <c r="I50" s="319"/>
      <c r="J50" s="319"/>
      <c r="K50" s="319"/>
      <c r="L50" s="319"/>
    </row>
    <row r="51" spans="1:13" ht="11.25" customHeight="1" x14ac:dyDescent="0.2">
      <c r="A51" s="321" t="s">
        <v>521</v>
      </c>
      <c r="B51" s="318"/>
      <c r="C51" s="319"/>
      <c r="D51" s="320"/>
      <c r="E51" s="319"/>
      <c r="F51" s="319"/>
      <c r="G51" s="319"/>
      <c r="H51" s="319"/>
      <c r="I51" s="319"/>
      <c r="J51" s="319"/>
      <c r="K51" s="319"/>
      <c r="L51" s="319"/>
    </row>
    <row r="52" spans="1:13" ht="11.25" customHeight="1" x14ac:dyDescent="0.2">
      <c r="A52" s="321" t="s">
        <v>522</v>
      </c>
      <c r="B52" s="318"/>
      <c r="C52" s="319"/>
      <c r="D52" s="320"/>
      <c r="E52" s="319"/>
      <c r="F52" s="319"/>
      <c r="G52" s="319"/>
      <c r="H52" s="319"/>
      <c r="I52" s="319"/>
      <c r="J52" s="319"/>
      <c r="K52" s="319"/>
      <c r="L52" s="319"/>
    </row>
    <row r="53" spans="1:13" ht="11.25" customHeight="1" x14ac:dyDescent="0.2">
      <c r="A53" s="321" t="s">
        <v>523</v>
      </c>
      <c r="B53" s="318"/>
      <c r="C53" s="319"/>
      <c r="D53" s="320"/>
      <c r="E53" s="319"/>
      <c r="F53" s="319"/>
      <c r="G53" s="319"/>
      <c r="H53" s="319"/>
      <c r="I53" s="319"/>
      <c r="J53" s="319"/>
      <c r="K53" s="319"/>
      <c r="L53" s="319"/>
    </row>
    <row r="54" spans="1:13" ht="11.25" customHeight="1" x14ac:dyDescent="0.2">
      <c r="A54" s="321" t="s">
        <v>524</v>
      </c>
      <c r="B54" s="318"/>
      <c r="C54" s="319"/>
      <c r="D54" s="320"/>
      <c r="E54" s="319"/>
      <c r="F54" s="319"/>
      <c r="G54" s="319"/>
      <c r="H54" s="319"/>
      <c r="I54" s="319"/>
      <c r="J54" s="319"/>
      <c r="K54" s="319"/>
      <c r="L54" s="319"/>
    </row>
    <row r="55" spans="1:13" ht="11.25" customHeight="1" x14ac:dyDescent="0.2">
      <c r="A55" s="321" t="s">
        <v>525</v>
      </c>
      <c r="B55" s="318"/>
      <c r="C55" s="319"/>
      <c r="D55" s="320"/>
      <c r="E55" s="319"/>
      <c r="F55" s="319"/>
      <c r="G55" s="319"/>
      <c r="H55" s="319"/>
      <c r="I55" s="319"/>
      <c r="J55" s="319"/>
      <c r="K55" s="319"/>
      <c r="L55" s="319"/>
    </row>
    <row r="56" spans="1:13" ht="11.25" customHeight="1" x14ac:dyDescent="0.2">
      <c r="A56" s="321" t="s">
        <v>526</v>
      </c>
      <c r="B56" s="318"/>
      <c r="C56" s="319"/>
      <c r="D56" s="320"/>
      <c r="E56" s="319"/>
      <c r="F56" s="319"/>
      <c r="G56" s="319"/>
      <c r="H56" s="319"/>
      <c r="I56" s="319"/>
      <c r="J56" s="319"/>
      <c r="K56" s="319"/>
      <c r="L56" s="319"/>
    </row>
    <row r="57" spans="1:13" ht="11.25" customHeight="1" x14ac:dyDescent="0.2">
      <c r="A57" s="322" t="s">
        <v>527</v>
      </c>
      <c r="B57" s="323"/>
      <c r="C57" s="269">
        <f>C45-'[2]A3-FinPerf V'!C39</f>
        <v>0</v>
      </c>
      <c r="D57" s="269">
        <f>D45-'[2]A3-FinPerf V'!D39</f>
        <v>0</v>
      </c>
      <c r="E57" s="269">
        <f>E45-'[2]A3-FinPerf V'!E39</f>
        <v>0</v>
      </c>
      <c r="F57" s="269">
        <f>F45-'[2]A3-FinPerf V'!F39</f>
        <v>-4.2400062084197998E-2</v>
      </c>
      <c r="G57" s="269">
        <f>G45-'[2]A3-FinPerf V'!G39</f>
        <v>0.25760006904602051</v>
      </c>
      <c r="H57" s="269">
        <f>H45-'[2]A3-FinPerf V'!H39</f>
        <v>0.25760006904602051</v>
      </c>
      <c r="I57" s="269"/>
      <c r="J57" s="269">
        <f>J45-'[2]A3-FinPerf V'!I39</f>
        <v>4</v>
      </c>
      <c r="K57" s="269">
        <f>K45-'[2]A3-FinPerf V'!J39</f>
        <v>-2</v>
      </c>
      <c r="L57" s="269">
        <f>L45-'[2]A3-FinPerf V'!K39</f>
        <v>-2</v>
      </c>
    </row>
    <row r="58" spans="1:13" ht="11.25" customHeight="1" x14ac:dyDescent="0.2">
      <c r="A58" s="267"/>
      <c r="B58" s="323"/>
      <c r="C58" s="269"/>
      <c r="D58" s="269"/>
      <c r="E58" s="269"/>
      <c r="F58" s="269"/>
      <c r="G58" s="269"/>
      <c r="H58" s="269"/>
      <c r="I58" s="269"/>
      <c r="J58" s="269"/>
      <c r="K58" s="269"/>
      <c r="L58" s="269"/>
    </row>
    <row r="59" spans="1:13" ht="11.25" customHeight="1" x14ac:dyDescent="0.2">
      <c r="A59" s="267" t="s">
        <v>528</v>
      </c>
      <c r="B59" s="324"/>
      <c r="C59" s="325">
        <f t="shared" ref="C59:L59" si="10">C21+SUM(C38:C40)</f>
        <v>345723035</v>
      </c>
      <c r="D59" s="325">
        <f t="shared" si="10"/>
        <v>320569179</v>
      </c>
      <c r="E59" s="325">
        <f t="shared" si="10"/>
        <v>344212945</v>
      </c>
      <c r="F59" s="325">
        <f t="shared" si="10"/>
        <v>402707680.23000002</v>
      </c>
      <c r="G59" s="325">
        <f t="shared" si="10"/>
        <v>469124881.23000002</v>
      </c>
      <c r="H59" s="325">
        <f t="shared" si="10"/>
        <v>469124881.23000002</v>
      </c>
      <c r="I59" s="325">
        <f t="shared" si="10"/>
        <v>468078740.23000002</v>
      </c>
      <c r="J59" s="325">
        <f t="shared" si="10"/>
        <v>460142443</v>
      </c>
      <c r="K59" s="325">
        <f t="shared" si="10"/>
        <v>495327608</v>
      </c>
      <c r="L59" s="325">
        <f t="shared" si="10"/>
        <v>528562346</v>
      </c>
      <c r="M59" s="326"/>
    </row>
    <row r="60" spans="1:13" ht="11.25" customHeight="1" x14ac:dyDescent="0.2">
      <c r="A60" s="92"/>
      <c r="B60" s="92"/>
      <c r="C60" s="107"/>
      <c r="D60" s="107"/>
      <c r="E60" s="92"/>
      <c r="F60" s="92"/>
      <c r="G60" s="107"/>
      <c r="M60" s="326"/>
    </row>
    <row r="61" spans="1:13" ht="11.25" customHeight="1" x14ac:dyDescent="0.2">
      <c r="A61" s="92"/>
      <c r="B61" s="92"/>
      <c r="C61" s="107"/>
      <c r="D61" s="107"/>
      <c r="E61" s="92"/>
      <c r="F61" s="92"/>
      <c r="G61" s="107"/>
    </row>
    <row r="62" spans="1:13" ht="11.25" customHeight="1" x14ac:dyDescent="0.2">
      <c r="A62" s="92"/>
      <c r="B62" s="92"/>
      <c r="C62" s="107"/>
      <c r="D62" s="107"/>
      <c r="E62" s="92"/>
      <c r="F62" s="92"/>
      <c r="G62" s="107"/>
    </row>
    <row r="63" spans="1:13" ht="11.25" customHeight="1" x14ac:dyDescent="0.2">
      <c r="A63" s="92"/>
      <c r="B63" s="92"/>
      <c r="C63" s="92"/>
      <c r="D63" s="108"/>
      <c r="E63" s="92"/>
      <c r="F63" s="92"/>
      <c r="G63" s="92"/>
    </row>
    <row r="64" spans="1:13" ht="11.25" customHeight="1" x14ac:dyDescent="0.2">
      <c r="B64" s="46"/>
    </row>
    <row r="65" spans="2:2" ht="11.25" customHeight="1" x14ac:dyDescent="0.2">
      <c r="B65" s="46"/>
    </row>
    <row r="66" spans="2:2" ht="11.25" customHeight="1" x14ac:dyDescent="0.2">
      <c r="B66" s="46"/>
    </row>
    <row r="67" spans="2:2" ht="11.25" customHeight="1" x14ac:dyDescent="0.2">
      <c r="B67" s="46"/>
    </row>
    <row r="68" spans="2:2" ht="11.25" customHeight="1" x14ac:dyDescent="0.2">
      <c r="B68" s="46"/>
    </row>
    <row r="69" spans="2:2" ht="11.25" customHeight="1" x14ac:dyDescent="0.2">
      <c r="B69" s="46"/>
    </row>
    <row r="70" spans="2:2" ht="11.25" customHeight="1" x14ac:dyDescent="0.2">
      <c r="B70" s="46"/>
    </row>
    <row r="71" spans="2:2" ht="11.25" customHeight="1" x14ac:dyDescent="0.2">
      <c r="B71" s="46"/>
    </row>
    <row r="72" spans="2:2" ht="11.25" customHeight="1" x14ac:dyDescent="0.2">
      <c r="B72" s="46"/>
    </row>
    <row r="73" spans="2:2" ht="11.25" customHeight="1" x14ac:dyDescent="0.2">
      <c r="B73" s="46"/>
    </row>
    <row r="74" spans="2:2" ht="11.25" customHeight="1" x14ac:dyDescent="0.2">
      <c r="B74" s="46"/>
    </row>
    <row r="75" spans="2:2" ht="11.25" customHeight="1" x14ac:dyDescent="0.2">
      <c r="B75" s="46"/>
    </row>
    <row r="76" spans="2:2" ht="11.25" customHeight="1" x14ac:dyDescent="0.2">
      <c r="B76" s="46"/>
    </row>
    <row r="77" spans="2:2" ht="11.25" customHeight="1" x14ac:dyDescent="0.2">
      <c r="B77" s="46"/>
    </row>
    <row r="78" spans="2:2" ht="11.25" customHeight="1" x14ac:dyDescent="0.2">
      <c r="B78" s="46"/>
    </row>
    <row r="79" spans="2:2" ht="11.25" customHeight="1" x14ac:dyDescent="0.2">
      <c r="B79" s="46"/>
    </row>
    <row r="80" spans="2:2" ht="11.25" customHeight="1" x14ac:dyDescent="0.2">
      <c r="B80" s="46"/>
    </row>
    <row r="81" spans="2:2" ht="11.25" customHeight="1" x14ac:dyDescent="0.2">
      <c r="B81" s="46"/>
    </row>
    <row r="82" spans="2:2" ht="11.25" customHeight="1" x14ac:dyDescent="0.2">
      <c r="B82" s="46"/>
    </row>
    <row r="83" spans="2:2" ht="11.25" customHeight="1" x14ac:dyDescent="0.2"/>
    <row r="84" spans="2:2" ht="11.25" customHeight="1" x14ac:dyDescent="0.2"/>
    <row r="85" spans="2:2" ht="11.25" customHeight="1" x14ac:dyDescent="0.2"/>
    <row r="86" spans="2:2" ht="11.25" customHeight="1" x14ac:dyDescent="0.2"/>
    <row r="87" spans="2:2" ht="11.25" customHeight="1" x14ac:dyDescent="0.2"/>
    <row r="88" spans="2:2" ht="11.25" customHeight="1" x14ac:dyDescent="0.2"/>
    <row r="89" spans="2:2" ht="11.25" customHeight="1" x14ac:dyDescent="0.2"/>
    <row r="90" spans="2:2" ht="11.25" customHeight="1" x14ac:dyDescent="0.2"/>
    <row r="91" spans="2:2" ht="11.25" customHeight="1" x14ac:dyDescent="0.2"/>
  </sheetData>
  <mergeCells count="3">
    <mergeCell ref="F2:I2"/>
    <mergeCell ref="J2:L2"/>
    <mergeCell ref="M2:X2"/>
  </mergeCell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120"/>
  <sheetViews>
    <sheetView view="pageBreakPreview" topLeftCell="A66" zoomScale="60" zoomScaleNormal="100" workbookViewId="0">
      <selection activeCell="P32" sqref="P32"/>
    </sheetView>
  </sheetViews>
  <sheetFormatPr defaultColWidth="9.109375" defaultRowHeight="10.199999999999999" x14ac:dyDescent="0.2"/>
  <cols>
    <col min="1" max="1" width="30.6640625" style="46" customWidth="1"/>
    <col min="2" max="2" width="3" style="47" customWidth="1"/>
    <col min="3" max="8" width="9.33203125" style="46" customWidth="1"/>
    <col min="9" max="9" width="9.109375" style="46" customWidth="1"/>
    <col min="10" max="12" width="9.33203125" style="46" customWidth="1"/>
    <col min="13" max="13" width="11.6640625" style="46" bestFit="1" customWidth="1"/>
    <col min="14" max="14" width="9.44140625" style="46" customWidth="1"/>
    <col min="15" max="15" width="9.6640625" style="46" customWidth="1"/>
    <col min="16" max="18" width="9.44140625" style="46" customWidth="1"/>
    <col min="19" max="19" width="9.6640625" style="46" customWidth="1"/>
    <col min="20" max="22" width="9.44140625" style="46" customWidth="1"/>
    <col min="23" max="24" width="9.6640625" style="46" customWidth="1"/>
    <col min="25" max="16384" width="9.109375" style="46"/>
  </cols>
  <sheetData>
    <row r="1" spans="1:13" s="186" customFormat="1" ht="13.8" x14ac:dyDescent="0.3">
      <c r="A1" s="154" t="s">
        <v>529</v>
      </c>
      <c r="B1" s="154"/>
      <c r="C1" s="154"/>
      <c r="D1" s="154"/>
      <c r="E1" s="154"/>
      <c r="F1" s="154"/>
      <c r="G1" s="154"/>
      <c r="H1" s="154"/>
      <c r="I1" s="154"/>
      <c r="J1" s="154"/>
      <c r="K1" s="154"/>
      <c r="L1" s="154"/>
    </row>
    <row r="2" spans="1:13" ht="28.5" customHeight="1" x14ac:dyDescent="0.2">
      <c r="A2" s="270">
        <f>Vdesc</f>
        <v>0</v>
      </c>
      <c r="B2" s="271">
        <f>head27</f>
        <v>0</v>
      </c>
      <c r="C2" s="272" t="str">
        <f>head1b</f>
        <v>2015/16</v>
      </c>
      <c r="D2" s="272" t="str">
        <f>head1A</f>
        <v>2016/17</v>
      </c>
      <c r="E2" s="273" t="str">
        <f>Head1</f>
        <v>2017/18</v>
      </c>
      <c r="F2" s="602">
        <f>Head2</f>
        <v>0</v>
      </c>
      <c r="G2" s="603"/>
      <c r="H2" s="603"/>
      <c r="I2" s="603"/>
      <c r="J2" s="604" t="str">
        <f>Head3</f>
        <v>2019/20 Medium Term Revenue &amp; Expenditure Framework</v>
      </c>
      <c r="K2" s="605"/>
      <c r="L2" s="606"/>
    </row>
    <row r="3" spans="1:13" ht="20.399999999999999" x14ac:dyDescent="0.2">
      <c r="A3" s="48" t="s">
        <v>515</v>
      </c>
      <c r="B3" s="49">
        <v>1</v>
      </c>
      <c r="C3" s="160" t="str">
        <f>Head5</f>
        <v>Audited Outcome</v>
      </c>
      <c r="D3" s="160" t="str">
        <f>Head5</f>
        <v>Audited Outcome</v>
      </c>
      <c r="E3" s="159" t="str">
        <f>Head5</f>
        <v>Audited Outcome</v>
      </c>
      <c r="F3" s="157">
        <f>Head6</f>
        <v>0</v>
      </c>
      <c r="G3" s="160">
        <f>Head7</f>
        <v>0</v>
      </c>
      <c r="H3" s="159" t="str">
        <f>Head8</f>
        <v>Full Year Forecast</v>
      </c>
      <c r="I3" s="274" t="str">
        <f>Head5b</f>
        <v>Pre-audit outcome</v>
      </c>
      <c r="J3" s="157">
        <f>Head9</f>
        <v>0</v>
      </c>
      <c r="K3" s="160">
        <f>Head10</f>
        <v>0</v>
      </c>
      <c r="L3" s="159">
        <f>Head11</f>
        <v>0</v>
      </c>
    </row>
    <row r="4" spans="1:13" x14ac:dyDescent="0.2">
      <c r="A4" s="110" t="s">
        <v>530</v>
      </c>
      <c r="B4" s="275"/>
      <c r="C4" s="327"/>
      <c r="D4" s="327"/>
      <c r="E4" s="328"/>
      <c r="F4" s="329"/>
      <c r="G4" s="327"/>
      <c r="H4" s="330"/>
      <c r="I4" s="328"/>
      <c r="J4" s="329"/>
      <c r="K4" s="327"/>
      <c r="L4" s="330"/>
    </row>
    <row r="5" spans="1:13" ht="11.25" customHeight="1" x14ac:dyDescent="0.2">
      <c r="A5" s="110" t="s">
        <v>531</v>
      </c>
      <c r="B5" s="288">
        <v>2</v>
      </c>
      <c r="C5" s="163"/>
      <c r="D5" s="163"/>
      <c r="E5" s="331"/>
      <c r="F5" s="162"/>
      <c r="G5" s="163"/>
      <c r="H5" s="166"/>
      <c r="I5" s="331"/>
      <c r="J5" s="162"/>
      <c r="K5" s="163"/>
      <c r="L5" s="166"/>
    </row>
    <row r="6" spans="1:13" ht="11.25" customHeight="1" x14ac:dyDescent="0.2">
      <c r="A6" s="77" t="str">
        <f>[2]A5A!A6</f>
        <v>Vote 1 - Executive &amp; Council</v>
      </c>
      <c r="B6" s="288"/>
      <c r="C6" s="332">
        <f>[2]A5A!C6</f>
        <v>0</v>
      </c>
      <c r="D6" s="332">
        <f>[2]A5A!D6</f>
        <v>0</v>
      </c>
      <c r="E6" s="333">
        <f>[2]A5A!E6</f>
        <v>0</v>
      </c>
      <c r="F6" s="334">
        <f>[2]A5A!F6</f>
        <v>0</v>
      </c>
      <c r="G6" s="332">
        <f>[2]A5A!G6</f>
        <v>0</v>
      </c>
      <c r="H6" s="333">
        <f>[2]A5A!H6</f>
        <v>0</v>
      </c>
      <c r="I6" s="335">
        <f>[2]A5A!I6</f>
        <v>0</v>
      </c>
      <c r="J6" s="334">
        <f>[2]A5A!J6</f>
        <v>0</v>
      </c>
      <c r="K6" s="332">
        <f>[2]A5A!K6</f>
        <v>0</v>
      </c>
      <c r="L6" s="333">
        <f>[2]A5A!L6</f>
        <v>0</v>
      </c>
      <c r="M6" s="336"/>
    </row>
    <row r="7" spans="1:13" ht="11.25" customHeight="1" x14ac:dyDescent="0.2">
      <c r="A7" s="77" t="str">
        <f>[2]A5A!A17</f>
        <v>Vote 2 - Finance and Administration</v>
      </c>
      <c r="B7" s="288"/>
      <c r="C7" s="332">
        <f>[2]A5A!C17</f>
        <v>0</v>
      </c>
      <c r="D7" s="332">
        <f>[2]A5A!D17</f>
        <v>0</v>
      </c>
      <c r="E7" s="333">
        <f>[2]A5A!E17</f>
        <v>0</v>
      </c>
      <c r="F7" s="334">
        <f>[2]A5A!F17</f>
        <v>0</v>
      </c>
      <c r="G7" s="332">
        <f>[2]A5A!G17</f>
        <v>0</v>
      </c>
      <c r="H7" s="333">
        <f>[2]A5A!H17</f>
        <v>0</v>
      </c>
      <c r="I7" s="337">
        <f>[2]A5A!I17</f>
        <v>0</v>
      </c>
      <c r="J7" s="334">
        <f>[2]A5A!J17</f>
        <v>0</v>
      </c>
      <c r="K7" s="332">
        <f>[2]A5A!K17</f>
        <v>0</v>
      </c>
      <c r="L7" s="333">
        <f>[2]A5A!L17</f>
        <v>0</v>
      </c>
      <c r="M7" s="338"/>
    </row>
    <row r="8" spans="1:13" ht="11.25" customHeight="1" x14ac:dyDescent="0.2">
      <c r="A8" s="77" t="str">
        <f>[2]A5A!A28</f>
        <v>Vote 3 - Internal Audit</v>
      </c>
      <c r="B8" s="288"/>
      <c r="C8" s="332">
        <f>[2]A5A!C28</f>
        <v>0</v>
      </c>
      <c r="D8" s="332">
        <f>[2]A5A!D28</f>
        <v>0</v>
      </c>
      <c r="E8" s="333">
        <f>[2]A5A!E28</f>
        <v>0</v>
      </c>
      <c r="F8" s="334">
        <f>[2]A5A!F28</f>
        <v>0</v>
      </c>
      <c r="G8" s="332">
        <f>[2]A5A!G28</f>
        <v>0</v>
      </c>
      <c r="H8" s="333">
        <f>[2]A5A!H28</f>
        <v>0</v>
      </c>
      <c r="I8" s="337">
        <f>[2]A5A!I28</f>
        <v>0</v>
      </c>
      <c r="J8" s="334">
        <f>[2]A5A!J28</f>
        <v>0</v>
      </c>
      <c r="K8" s="332">
        <f>[2]A5A!K28</f>
        <v>0</v>
      </c>
      <c r="L8" s="333">
        <f>[2]A5A!L28</f>
        <v>0</v>
      </c>
      <c r="M8" s="339"/>
    </row>
    <row r="9" spans="1:13" ht="11.25" customHeight="1" x14ac:dyDescent="0.2">
      <c r="A9" s="77" t="str">
        <f>[2]A5A!A39</f>
        <v>Vote 4 - Community and Public Safety</v>
      </c>
      <c r="B9" s="288"/>
      <c r="C9" s="332">
        <f>[2]A5A!C39</f>
        <v>9816354</v>
      </c>
      <c r="D9" s="332">
        <f>[2]A5A!D39</f>
        <v>18440000</v>
      </c>
      <c r="E9" s="333">
        <f>[2]A5A!E39</f>
        <v>8865104</v>
      </c>
      <c r="F9" s="340">
        <f>[2]A5A!F39</f>
        <v>3218446</v>
      </c>
      <c r="G9" s="332">
        <f>[2]A5A!G39</f>
        <v>1718446</v>
      </c>
      <c r="H9" s="333">
        <f>[2]A5A!H39</f>
        <v>1718446</v>
      </c>
      <c r="I9" s="337">
        <f>[2]A5A!I39</f>
        <v>1718446</v>
      </c>
      <c r="J9" s="334">
        <f>[2]A5A!J39</f>
        <v>3100000</v>
      </c>
      <c r="K9" s="332">
        <f>[2]A5A!K39</f>
        <v>3900000</v>
      </c>
      <c r="L9" s="341">
        <f>[2]A5A!L39</f>
        <v>0</v>
      </c>
      <c r="M9" s="339"/>
    </row>
    <row r="10" spans="1:13" ht="11.25" customHeight="1" x14ac:dyDescent="0.2">
      <c r="A10" s="77" t="str">
        <f>[2]A5A!A50</f>
        <v>Vote 5 - Sports and Recreation</v>
      </c>
      <c r="B10" s="288"/>
      <c r="C10" s="332">
        <f>[2]A5A!C50</f>
        <v>3193643</v>
      </c>
      <c r="D10" s="332">
        <f>[2]A5A!D50</f>
        <v>6740167</v>
      </c>
      <c r="E10" s="333">
        <f>[2]A5A!E50</f>
        <v>46132125</v>
      </c>
      <c r="F10" s="334">
        <f>[2]A5A!F50</f>
        <v>63505497</v>
      </c>
      <c r="G10" s="332">
        <f>[2]A5A!G50</f>
        <v>66671312</v>
      </c>
      <c r="H10" s="333">
        <f>[2]A5A!H50</f>
        <v>66671312</v>
      </c>
      <c r="I10" s="337">
        <f>[2]A5A!I50</f>
        <v>66671312</v>
      </c>
      <c r="J10" s="334">
        <f>[2]A5A!J50</f>
        <v>43635415</v>
      </c>
      <c r="K10" s="332">
        <f>[2]A5A!K50</f>
        <v>38582889</v>
      </c>
      <c r="L10" s="333">
        <f>[2]A5A!L50</f>
        <v>21681111</v>
      </c>
      <c r="M10" s="339"/>
    </row>
    <row r="11" spans="1:13" ht="11.25" customHeight="1" x14ac:dyDescent="0.2">
      <c r="A11" s="77" t="str">
        <f>[2]A5A!A61</f>
        <v>Vote 6 - Housing</v>
      </c>
      <c r="B11" s="288"/>
      <c r="C11" s="332">
        <f>[2]A5A!C61</f>
        <v>0</v>
      </c>
      <c r="D11" s="332">
        <f>[2]A5A!D61</f>
        <v>0</v>
      </c>
      <c r="E11" s="333">
        <f>[2]A5A!E61</f>
        <v>0</v>
      </c>
      <c r="F11" s="334">
        <f>[2]A5A!F61</f>
        <v>0</v>
      </c>
      <c r="G11" s="332">
        <f>[2]A5A!G61</f>
        <v>0</v>
      </c>
      <c r="H11" s="333">
        <f>[2]A5A!H61</f>
        <v>0</v>
      </c>
      <c r="I11" s="337">
        <f>[2]A5A!I61</f>
        <v>0</v>
      </c>
      <c r="J11" s="334">
        <f>[2]A5A!J61</f>
        <v>0</v>
      </c>
      <c r="K11" s="332">
        <f>[2]A5A!K61</f>
        <v>0</v>
      </c>
      <c r="L11" s="333">
        <f>[2]A5A!L61</f>
        <v>0</v>
      </c>
      <c r="M11" s="339"/>
    </row>
    <row r="12" spans="1:13" ht="11.25" customHeight="1" x14ac:dyDescent="0.2">
      <c r="A12" s="77" t="str">
        <f>[2]A5A!A72</f>
        <v xml:space="preserve">Vote 7 - Planning and development </v>
      </c>
      <c r="B12" s="288"/>
      <c r="C12" s="332">
        <f>[2]A5A!C72</f>
        <v>4111760</v>
      </c>
      <c r="D12" s="332">
        <f>[2]A5A!D72</f>
        <v>0</v>
      </c>
      <c r="E12" s="333">
        <f>[2]A5A!E72</f>
        <v>0</v>
      </c>
      <c r="F12" s="334">
        <f>[2]A5A!F72</f>
        <v>0</v>
      </c>
      <c r="G12" s="332">
        <f>[2]A5A!G72</f>
        <v>0</v>
      </c>
      <c r="H12" s="333">
        <f>[2]A5A!H72</f>
        <v>0</v>
      </c>
      <c r="I12" s="337">
        <f>[2]A5A!I72</f>
        <v>0</v>
      </c>
      <c r="J12" s="334">
        <f>[2]A5A!J72</f>
        <v>0</v>
      </c>
      <c r="K12" s="332">
        <f>[2]A5A!K72</f>
        <v>0</v>
      </c>
      <c r="L12" s="333">
        <f>[2]A5A!L72</f>
        <v>0</v>
      </c>
      <c r="M12" s="339"/>
    </row>
    <row r="13" spans="1:13" ht="11.25" customHeight="1" x14ac:dyDescent="0.2">
      <c r="A13" s="77" t="str">
        <f>[2]A5A!A83</f>
        <v>Vote 8 - Road Transport</v>
      </c>
      <c r="B13" s="288"/>
      <c r="C13" s="332">
        <f>[2]A5A!C83</f>
        <v>135906114</v>
      </c>
      <c r="D13" s="332">
        <f>[2]A5A!D83</f>
        <v>56929000</v>
      </c>
      <c r="E13" s="337">
        <f>[2]A5A!E83</f>
        <v>0</v>
      </c>
      <c r="F13" s="334">
        <f>[2]A5A!F83</f>
        <v>57269303.810000002</v>
      </c>
      <c r="G13" s="332">
        <f>[2]A5A!G83</f>
        <v>60856960.810000002</v>
      </c>
      <c r="H13" s="333">
        <f>[2]A5A!H83</f>
        <v>60856960.810000002</v>
      </c>
      <c r="I13" s="337">
        <f>[2]A5A!I83</f>
        <v>60856960.810000002</v>
      </c>
      <c r="J13" s="334">
        <f>[2]A5A!J83</f>
        <v>56740758</v>
      </c>
      <c r="K13" s="332">
        <f>[2]A5A!K83</f>
        <v>126765055</v>
      </c>
      <c r="L13" s="333">
        <f>[2]A5A!L83</f>
        <v>141871156</v>
      </c>
      <c r="M13" s="339"/>
    </row>
    <row r="14" spans="1:13" ht="11.25" customHeight="1" x14ac:dyDescent="0.2">
      <c r="A14" s="77" t="str">
        <f>[2]A5A!A94</f>
        <v>Vote 9 - Energy Sources</v>
      </c>
      <c r="B14" s="288"/>
      <c r="C14" s="332">
        <f>[2]A5A!C94</f>
        <v>0</v>
      </c>
      <c r="D14" s="332">
        <f>[2]A5A!D94</f>
        <v>0</v>
      </c>
      <c r="E14" s="337">
        <f>[2]A5A!E94</f>
        <v>55248315</v>
      </c>
      <c r="F14" s="334">
        <f>[2]A5A!F94</f>
        <v>0</v>
      </c>
      <c r="G14" s="332">
        <f>[2]A5A!G94</f>
        <v>0</v>
      </c>
      <c r="H14" s="333">
        <f>[2]A5A!H94</f>
        <v>0</v>
      </c>
      <c r="I14" s="337">
        <f>[2]A5A!I94</f>
        <v>0</v>
      </c>
      <c r="J14" s="334">
        <f>[2]A5A!J94</f>
        <v>0</v>
      </c>
      <c r="K14" s="332">
        <f>[2]A5A!K94</f>
        <v>0</v>
      </c>
      <c r="L14" s="333">
        <f>[2]A5A!L94</f>
        <v>0</v>
      </c>
      <c r="M14" s="342"/>
    </row>
    <row r="15" spans="1:13" ht="11.25" customHeight="1" x14ac:dyDescent="0.2">
      <c r="A15" s="77" t="str">
        <f>[2]A5A!A105</f>
        <v>Vote 10 - Waste Water Management</v>
      </c>
      <c r="B15" s="288"/>
      <c r="C15" s="332">
        <f>[2]A5A!C105</f>
        <v>0</v>
      </c>
      <c r="D15" s="332">
        <f>[2]A5A!D105</f>
        <v>0</v>
      </c>
      <c r="E15" s="337">
        <f>[2]A5A!E105</f>
        <v>0</v>
      </c>
      <c r="F15" s="334">
        <f>[2]A5A!F105</f>
        <v>0</v>
      </c>
      <c r="G15" s="332">
        <f>[2]A5A!G105</f>
        <v>0</v>
      </c>
      <c r="H15" s="333">
        <f>[2]A5A!H105</f>
        <v>0</v>
      </c>
      <c r="I15" s="337">
        <f>[2]A5A!I105</f>
        <v>0</v>
      </c>
      <c r="J15" s="334">
        <f>[2]A5A!J105</f>
        <v>0</v>
      </c>
      <c r="K15" s="332">
        <f>[2]A5A!K105</f>
        <v>0</v>
      </c>
      <c r="L15" s="333">
        <f>[2]A5A!L105</f>
        <v>0</v>
      </c>
      <c r="M15" s="342"/>
    </row>
    <row r="16" spans="1:13" ht="11.25" customHeight="1" x14ac:dyDescent="0.2">
      <c r="A16" s="77" t="str">
        <f>[2]A5A!A116</f>
        <v>Vote 11 - Waste Management</v>
      </c>
      <c r="B16" s="288"/>
      <c r="C16" s="332">
        <f>[2]A5A!C116</f>
        <v>0</v>
      </c>
      <c r="D16" s="332">
        <f>[2]A5A!D116</f>
        <v>0</v>
      </c>
      <c r="E16" s="337">
        <f>[2]A5A!E116</f>
        <v>0</v>
      </c>
      <c r="F16" s="334">
        <f>[2]A5A!F116</f>
        <v>0</v>
      </c>
      <c r="G16" s="332">
        <f>[2]A5A!G116</f>
        <v>0</v>
      </c>
      <c r="H16" s="333">
        <f>[2]A5A!H116</f>
        <v>0</v>
      </c>
      <c r="I16" s="337">
        <f>[2]A5A!I116</f>
        <v>0</v>
      </c>
      <c r="J16" s="334">
        <f>[2]A5A!J116</f>
        <v>0</v>
      </c>
      <c r="K16" s="332">
        <f>[2]A5A!K116</f>
        <v>0</v>
      </c>
      <c r="L16" s="333">
        <f>[2]A5A!L116</f>
        <v>0</v>
      </c>
      <c r="M16" s="76"/>
    </row>
    <row r="17" spans="1:13" ht="11.25" customHeight="1" x14ac:dyDescent="0.2">
      <c r="A17" s="77" t="str">
        <f>[2]A5A!A127</f>
        <v>Vote 12 - [NAME OF VOTE 12]</v>
      </c>
      <c r="B17" s="288"/>
      <c r="C17" s="332">
        <f>[2]A5A!C127</f>
        <v>0</v>
      </c>
      <c r="D17" s="332">
        <f>[2]A5A!D127</f>
        <v>0</v>
      </c>
      <c r="E17" s="337">
        <f>[2]A5A!E127</f>
        <v>0</v>
      </c>
      <c r="F17" s="334">
        <f>[2]A5A!F127</f>
        <v>0</v>
      </c>
      <c r="G17" s="332">
        <f>[2]A5A!G127</f>
        <v>0</v>
      </c>
      <c r="H17" s="333">
        <f>[2]A5A!H127</f>
        <v>0</v>
      </c>
      <c r="I17" s="337">
        <f>[2]A5A!I127</f>
        <v>0</v>
      </c>
      <c r="J17" s="334">
        <f>[2]A5A!J127</f>
        <v>0</v>
      </c>
      <c r="K17" s="332">
        <f>[2]A5A!K127</f>
        <v>0</v>
      </c>
      <c r="L17" s="333">
        <f>[2]A5A!L127</f>
        <v>0</v>
      </c>
      <c r="M17" s="342"/>
    </row>
    <row r="18" spans="1:13" ht="11.25" customHeight="1" x14ac:dyDescent="0.2">
      <c r="A18" s="77" t="str">
        <f>[2]A5A!A138</f>
        <v>Vote 13 - [NAME OF VOTE 13]</v>
      </c>
      <c r="B18" s="288"/>
      <c r="C18" s="332">
        <f>[2]A5A!C138</f>
        <v>0</v>
      </c>
      <c r="D18" s="332">
        <f>[2]A5A!D138</f>
        <v>0</v>
      </c>
      <c r="E18" s="337">
        <f>[2]A5A!E138</f>
        <v>0</v>
      </c>
      <c r="F18" s="334">
        <f>[2]A5A!F138</f>
        <v>0</v>
      </c>
      <c r="G18" s="332">
        <f>[2]A5A!G138</f>
        <v>0</v>
      </c>
      <c r="H18" s="333">
        <f>[2]A5A!H138</f>
        <v>0</v>
      </c>
      <c r="I18" s="337">
        <f>[2]A5A!I138</f>
        <v>0</v>
      </c>
      <c r="J18" s="334">
        <f>[2]A5A!J138</f>
        <v>0</v>
      </c>
      <c r="K18" s="332">
        <f>[2]A5A!K138</f>
        <v>0</v>
      </c>
      <c r="L18" s="333">
        <f>[2]A5A!L138</f>
        <v>0</v>
      </c>
      <c r="M18" s="342"/>
    </row>
    <row r="19" spans="1:13" ht="11.25" customHeight="1" x14ac:dyDescent="0.2">
      <c r="A19" s="77" t="str">
        <f>[2]A5A!A149</f>
        <v>Vote 14 - [NAME OF VOTE 14]</v>
      </c>
      <c r="B19" s="288"/>
      <c r="C19" s="332">
        <f>[2]A5A!C149</f>
        <v>0</v>
      </c>
      <c r="D19" s="332">
        <f>[2]A5A!D149</f>
        <v>0</v>
      </c>
      <c r="E19" s="337">
        <f>[2]A5A!E149</f>
        <v>0</v>
      </c>
      <c r="F19" s="334">
        <f>[2]A5A!F149</f>
        <v>0</v>
      </c>
      <c r="G19" s="332">
        <f>[2]A5A!G149</f>
        <v>0</v>
      </c>
      <c r="H19" s="333">
        <f>[2]A5A!H149</f>
        <v>0</v>
      </c>
      <c r="I19" s="337">
        <f>[2]A5A!I149</f>
        <v>0</v>
      </c>
      <c r="J19" s="334">
        <f>[2]A5A!J149</f>
        <v>0</v>
      </c>
      <c r="K19" s="332">
        <f>[2]A5A!K149</f>
        <v>0</v>
      </c>
      <c r="L19" s="333">
        <f>[2]A5A!L149</f>
        <v>0</v>
      </c>
      <c r="M19" s="342"/>
    </row>
    <row r="20" spans="1:13" ht="11.25" customHeight="1" x14ac:dyDescent="0.2">
      <c r="A20" s="77" t="str">
        <f>[2]A5A!A160</f>
        <v>Vote 15 - [NAME OF VOTE 15]</v>
      </c>
      <c r="B20" s="288"/>
      <c r="C20" s="332">
        <f>[2]A5A!C160</f>
        <v>0</v>
      </c>
      <c r="D20" s="332">
        <f>[2]A5A!D160</f>
        <v>0</v>
      </c>
      <c r="E20" s="337">
        <f>[2]A5A!E160</f>
        <v>0</v>
      </c>
      <c r="F20" s="334">
        <f>[2]A5A!F160</f>
        <v>0</v>
      </c>
      <c r="G20" s="332">
        <f>[2]A5A!G160</f>
        <v>0</v>
      </c>
      <c r="H20" s="333">
        <f>[2]A5A!H160</f>
        <v>0</v>
      </c>
      <c r="I20" s="337">
        <f>[2]A5A!I160</f>
        <v>0</v>
      </c>
      <c r="J20" s="334">
        <f>[2]A5A!J160</f>
        <v>0</v>
      </c>
      <c r="K20" s="332">
        <f>[2]A5A!K160</f>
        <v>0</v>
      </c>
      <c r="L20" s="333">
        <f>[2]A5A!L160</f>
        <v>0</v>
      </c>
      <c r="M20" s="342"/>
    </row>
    <row r="21" spans="1:13" x14ac:dyDescent="0.2">
      <c r="A21" s="63" t="s">
        <v>433</v>
      </c>
      <c r="B21" s="288">
        <v>7</v>
      </c>
      <c r="C21" s="343">
        <f>SUM(C6:C20)</f>
        <v>153027871</v>
      </c>
      <c r="D21" s="343">
        <f t="shared" ref="D21:L21" si="0">SUM(D6:D20)</f>
        <v>82109167</v>
      </c>
      <c r="E21" s="344">
        <f t="shared" si="0"/>
        <v>110245544</v>
      </c>
      <c r="F21" s="345">
        <f t="shared" si="0"/>
        <v>123993246.81</v>
      </c>
      <c r="G21" s="94">
        <f t="shared" si="0"/>
        <v>129246718.81</v>
      </c>
      <c r="H21" s="346">
        <f>SUM(H6:H20)</f>
        <v>129246718.81</v>
      </c>
      <c r="I21" s="344">
        <f t="shared" si="0"/>
        <v>129246718.81</v>
      </c>
      <c r="J21" s="345">
        <f t="shared" si="0"/>
        <v>103476173</v>
      </c>
      <c r="K21" s="94">
        <f t="shared" si="0"/>
        <v>169247944</v>
      </c>
      <c r="L21" s="346">
        <f t="shared" si="0"/>
        <v>163552267</v>
      </c>
      <c r="M21" s="76"/>
    </row>
    <row r="22" spans="1:13" ht="4.95" customHeight="1" x14ac:dyDescent="0.2">
      <c r="A22" s="67"/>
      <c r="B22" s="288"/>
      <c r="C22" s="53"/>
      <c r="D22" s="347"/>
      <c r="E22" s="287"/>
      <c r="F22" s="174"/>
      <c r="G22" s="53"/>
      <c r="H22" s="168"/>
      <c r="I22" s="287"/>
      <c r="J22" s="174"/>
      <c r="K22" s="53"/>
      <c r="L22" s="168"/>
      <c r="M22" s="76"/>
    </row>
    <row r="23" spans="1:13" ht="11.25" customHeight="1" x14ac:dyDescent="0.2">
      <c r="A23" s="110" t="s">
        <v>532</v>
      </c>
      <c r="B23" s="288">
        <v>2</v>
      </c>
      <c r="C23" s="348"/>
      <c r="D23" s="348"/>
      <c r="E23" s="333"/>
      <c r="F23" s="334"/>
      <c r="G23" s="332"/>
      <c r="H23" s="333"/>
      <c r="I23" s="337"/>
      <c r="J23" s="334"/>
      <c r="K23" s="332"/>
      <c r="L23" s="333"/>
      <c r="M23" s="76"/>
    </row>
    <row r="24" spans="1:13" ht="11.25" customHeight="1" x14ac:dyDescent="0.2">
      <c r="A24" s="77" t="str">
        <f>A6</f>
        <v>Vote 1 - Executive &amp; Council</v>
      </c>
      <c r="B24" s="288"/>
      <c r="C24" s="348">
        <f>[2]A5A!C175</f>
        <v>0</v>
      </c>
      <c r="D24" s="348">
        <f>[2]A5A!D175</f>
        <v>0</v>
      </c>
      <c r="E24" s="333">
        <f>[2]A5A!E175</f>
        <v>1959142</v>
      </c>
      <c r="F24" s="334">
        <f>[2]A5A!F175</f>
        <v>0</v>
      </c>
      <c r="G24" s="332">
        <f>[2]A5A!G175</f>
        <v>0</v>
      </c>
      <c r="H24" s="333">
        <f>[2]A5A!H175</f>
        <v>0</v>
      </c>
      <c r="I24" s="337">
        <f>[2]A5A!I175</f>
        <v>0</v>
      </c>
      <c r="J24" s="334">
        <f>[2]A5A!J175</f>
        <v>525000</v>
      </c>
      <c r="K24" s="332">
        <f>[2]A5A!K175</f>
        <v>0</v>
      </c>
      <c r="L24" s="333">
        <f>[2]A5A!L175</f>
        <v>0</v>
      </c>
      <c r="M24" s="76"/>
    </row>
    <row r="25" spans="1:13" ht="11.25" customHeight="1" x14ac:dyDescent="0.2">
      <c r="A25" s="77" t="str">
        <f t="shared" ref="A25:A37" si="1">A7</f>
        <v>Vote 2 - Finance and Administration</v>
      </c>
      <c r="B25" s="288"/>
      <c r="C25" s="348">
        <f>[2]A5A!C186</f>
        <v>1631093</v>
      </c>
      <c r="D25" s="348">
        <f>[2]A5A!D186</f>
        <v>3922000</v>
      </c>
      <c r="E25" s="333">
        <f>[2]A5A!E186</f>
        <v>1653375</v>
      </c>
      <c r="F25" s="334">
        <f>[2]A5A!F186</f>
        <v>7086000</v>
      </c>
      <c r="G25" s="332">
        <f>[2]A5A!G186</f>
        <v>6419665</v>
      </c>
      <c r="H25" s="333">
        <f>[2]A5A!H186</f>
        <v>6419665</v>
      </c>
      <c r="I25" s="337">
        <f>[2]A5A!I186</f>
        <v>6419665</v>
      </c>
      <c r="J25" s="334">
        <f>[2]A5A!J186</f>
        <v>4417000</v>
      </c>
      <c r="K25" s="332">
        <f>[2]A5A!K186</f>
        <v>0</v>
      </c>
      <c r="L25" s="333">
        <f>[2]A5A!L186</f>
        <v>0</v>
      </c>
      <c r="M25" s="76"/>
    </row>
    <row r="26" spans="1:13" ht="11.25" customHeight="1" x14ac:dyDescent="0.2">
      <c r="A26" s="77" t="str">
        <f t="shared" si="1"/>
        <v>Vote 3 - Internal Audit</v>
      </c>
      <c r="B26" s="288"/>
      <c r="C26" s="348">
        <f>[2]A5A!C197</f>
        <v>0</v>
      </c>
      <c r="D26" s="348">
        <f>[2]A5A!D197</f>
        <v>0</v>
      </c>
      <c r="E26" s="333">
        <f>[2]A5A!E197</f>
        <v>0</v>
      </c>
      <c r="F26" s="334">
        <f>[2]A5A!F197</f>
        <v>0</v>
      </c>
      <c r="G26" s="332">
        <f>[2]A5A!G197</f>
        <v>0</v>
      </c>
      <c r="H26" s="333">
        <f>[2]A5A!H197</f>
        <v>0</v>
      </c>
      <c r="I26" s="337">
        <f>[2]A5A!I197</f>
        <v>0</v>
      </c>
      <c r="J26" s="334">
        <f>[2]A5A!J197</f>
        <v>0</v>
      </c>
      <c r="K26" s="332">
        <f>[2]A5A!K197</f>
        <v>0</v>
      </c>
      <c r="L26" s="333">
        <f>[2]A5A!L197</f>
        <v>0</v>
      </c>
      <c r="M26" s="76"/>
    </row>
    <row r="27" spans="1:13" ht="11.25" customHeight="1" x14ac:dyDescent="0.2">
      <c r="A27" s="77" t="str">
        <f t="shared" si="1"/>
        <v>Vote 4 - Community and Public Safety</v>
      </c>
      <c r="B27" s="288"/>
      <c r="C27" s="348">
        <f>[2]A5A!C208</f>
        <v>314568</v>
      </c>
      <c r="D27" s="348">
        <f>[2]A5A!D208</f>
        <v>0</v>
      </c>
      <c r="E27" s="333">
        <f>[2]A5A!E208</f>
        <v>7226812</v>
      </c>
      <c r="F27" s="334">
        <f>[2]A5A!F208</f>
        <v>400000</v>
      </c>
      <c r="G27" s="332">
        <f>[2]A5A!G208</f>
        <v>400000</v>
      </c>
      <c r="H27" s="333">
        <f>[2]A5A!H208</f>
        <v>400000</v>
      </c>
      <c r="I27" s="337">
        <f>[2]A5A!I208</f>
        <v>400000</v>
      </c>
      <c r="J27" s="334">
        <f>[2]A5A!J208</f>
        <v>1863000</v>
      </c>
      <c r="K27" s="332">
        <f>[2]A5A!K208</f>
        <v>0</v>
      </c>
      <c r="L27" s="333">
        <f>[2]A5A!L208</f>
        <v>0</v>
      </c>
      <c r="M27" s="76"/>
    </row>
    <row r="28" spans="1:13" ht="11.25" customHeight="1" x14ac:dyDescent="0.2">
      <c r="A28" s="77" t="str">
        <f t="shared" si="1"/>
        <v>Vote 5 - Sports and Recreation</v>
      </c>
      <c r="B28" s="288"/>
      <c r="C28" s="348">
        <f>[2]A5A!C219</f>
        <v>104312</v>
      </c>
      <c r="D28" s="348">
        <f>[2]A5A!D219</f>
        <v>0</v>
      </c>
      <c r="E28" s="333">
        <f>[2]A5A!E219</f>
        <v>0</v>
      </c>
      <c r="F28" s="334">
        <f>[2]A5A!F219</f>
        <v>0</v>
      </c>
      <c r="G28" s="332">
        <f>[2]A5A!G219</f>
        <v>0</v>
      </c>
      <c r="H28" s="333">
        <f>[2]A5A!H219</f>
        <v>0</v>
      </c>
      <c r="I28" s="337">
        <f>[2]A5A!I219</f>
        <v>0</v>
      </c>
      <c r="J28" s="334">
        <f>[2]A5A!J219</f>
        <v>0</v>
      </c>
      <c r="K28" s="332">
        <f>[2]A5A!K219</f>
        <v>0</v>
      </c>
      <c r="L28" s="333">
        <f>[2]A5A!L219</f>
        <v>0</v>
      </c>
      <c r="M28" s="76"/>
    </row>
    <row r="29" spans="1:13" ht="11.25" customHeight="1" x14ac:dyDescent="0.2">
      <c r="A29" s="77" t="str">
        <f t="shared" si="1"/>
        <v>Vote 6 - Housing</v>
      </c>
      <c r="B29" s="288"/>
      <c r="C29" s="348">
        <f>[2]A5A!C230</f>
        <v>0</v>
      </c>
      <c r="D29" s="348">
        <f>[2]A5A!D230</f>
        <v>0</v>
      </c>
      <c r="E29" s="333">
        <f>[2]A5A!E230</f>
        <v>0</v>
      </c>
      <c r="F29" s="334">
        <f>[2]A5A!F230</f>
        <v>0</v>
      </c>
      <c r="G29" s="332">
        <f>[2]A5A!G230</f>
        <v>0</v>
      </c>
      <c r="H29" s="333">
        <f>[2]A5A!H230</f>
        <v>0</v>
      </c>
      <c r="I29" s="337">
        <f>[2]A5A!I230</f>
        <v>0</v>
      </c>
      <c r="J29" s="334">
        <f>[2]A5A!J230</f>
        <v>0</v>
      </c>
      <c r="K29" s="332">
        <f>[2]A5A!K230</f>
        <v>0</v>
      </c>
      <c r="L29" s="333">
        <f>[2]A5A!L230</f>
        <v>0</v>
      </c>
      <c r="M29" s="76"/>
    </row>
    <row r="30" spans="1:13" ht="11.25" customHeight="1" x14ac:dyDescent="0.2">
      <c r="A30" s="77" t="str">
        <f t="shared" si="1"/>
        <v xml:space="preserve">Vote 7 - Planning and development </v>
      </c>
      <c r="B30" s="288"/>
      <c r="C30" s="348">
        <f>[2]A5A!C241</f>
        <v>0</v>
      </c>
      <c r="D30" s="348">
        <f>[2]A5A!D241</f>
        <v>1011000</v>
      </c>
      <c r="E30" s="333">
        <f>[2]A5A!E241</f>
        <v>0</v>
      </c>
      <c r="F30" s="334">
        <f>[2]A5A!F241</f>
        <v>0</v>
      </c>
      <c r="G30" s="332">
        <f>[2]A5A!G241</f>
        <v>0</v>
      </c>
      <c r="H30" s="333">
        <f>[2]A5A!H241</f>
        <v>0</v>
      </c>
      <c r="I30" s="337">
        <f>[2]A5A!I241</f>
        <v>0</v>
      </c>
      <c r="J30" s="334">
        <f>[2]A5A!J241</f>
        <v>0</v>
      </c>
      <c r="K30" s="332">
        <f>[2]A5A!K241</f>
        <v>0</v>
      </c>
      <c r="L30" s="333">
        <f>[2]A5A!L241</f>
        <v>0</v>
      </c>
      <c r="M30" s="76"/>
    </row>
    <row r="31" spans="1:13" ht="11.25" customHeight="1" x14ac:dyDescent="0.2">
      <c r="A31" s="77" t="str">
        <f t="shared" si="1"/>
        <v>Vote 8 - Road Transport</v>
      </c>
      <c r="B31" s="288"/>
      <c r="C31" s="348">
        <f>[2]A5A!C252</f>
        <v>15600255</v>
      </c>
      <c r="D31" s="348">
        <f>[2]A5A!D252</f>
        <v>230000</v>
      </c>
      <c r="E31" s="333">
        <f>[2]A5A!E252</f>
        <v>23092981</v>
      </c>
      <c r="F31" s="334">
        <f>[2]A5A!F252</f>
        <v>17659306.260000002</v>
      </c>
      <c r="G31" s="332">
        <f>[2]A5A!G252</f>
        <v>19529000.260000002</v>
      </c>
      <c r="H31" s="333">
        <f>[2]A5A!H252</f>
        <v>19529000.260000002</v>
      </c>
      <c r="I31" s="337">
        <f>[2]A5A!I252</f>
        <v>19529000.260000002</v>
      </c>
      <c r="J31" s="334">
        <f>[2]A5A!J252</f>
        <v>15643047</v>
      </c>
      <c r="K31" s="332">
        <f>[2]A5A!K252</f>
        <v>3747986</v>
      </c>
      <c r="L31" s="333">
        <f>[2]A5A!L252</f>
        <v>3998733</v>
      </c>
      <c r="M31" s="76"/>
    </row>
    <row r="32" spans="1:13" ht="11.25" customHeight="1" x14ac:dyDescent="0.2">
      <c r="A32" s="77" t="str">
        <f t="shared" si="1"/>
        <v>Vote 9 - Energy Sources</v>
      </c>
      <c r="B32" s="288"/>
      <c r="C32" s="348">
        <f>[2]A5A!C263</f>
        <v>3873785</v>
      </c>
      <c r="D32" s="348">
        <f>[2]A5A!D263</f>
        <v>14080000</v>
      </c>
      <c r="E32" s="333">
        <f>[2]A5A!E263</f>
        <v>13201925</v>
      </c>
      <c r="F32" s="334">
        <f>[2]A5A!F263</f>
        <v>18334111.600000001</v>
      </c>
      <c r="G32" s="332">
        <f>[2]A5A!G263</f>
        <v>26461367.600000001</v>
      </c>
      <c r="H32" s="333">
        <f>[2]A5A!H263</f>
        <v>26461367.600000001</v>
      </c>
      <c r="I32" s="337">
        <f>[2]A5A!I263</f>
        <v>26461367.600000001</v>
      </c>
      <c r="J32" s="334">
        <f>[2]A5A!J263</f>
        <v>15100000</v>
      </c>
      <c r="K32" s="332">
        <f>[2]A5A!K263</f>
        <v>9500000</v>
      </c>
      <c r="L32" s="333">
        <f>[2]A5A!L263</f>
        <v>17491920</v>
      </c>
      <c r="M32" s="76"/>
    </row>
    <row r="33" spans="1:18" ht="11.25" customHeight="1" x14ac:dyDescent="0.2">
      <c r="A33" s="77" t="str">
        <f t="shared" si="1"/>
        <v>Vote 10 - Waste Water Management</v>
      </c>
      <c r="B33" s="288"/>
      <c r="C33" s="348">
        <f>[2]A5A!C274</f>
        <v>1638257</v>
      </c>
      <c r="D33" s="348">
        <f>[2]A5A!D274</f>
        <v>0</v>
      </c>
      <c r="E33" s="333">
        <f>[2]A5A!E274</f>
        <v>2278685</v>
      </c>
      <c r="F33" s="334">
        <f>[2]A5A!F274</f>
        <v>5664654.4500000002</v>
      </c>
      <c r="G33" s="332">
        <f>[2]A5A!G274</f>
        <v>6464654.4500000002</v>
      </c>
      <c r="H33" s="333">
        <f>[2]A5A!H274</f>
        <v>6464654.4500000002</v>
      </c>
      <c r="I33" s="337">
        <f>[2]A5A!I274</f>
        <v>6464654.4500000002</v>
      </c>
      <c r="J33" s="334">
        <f>[2]A5A!J274</f>
        <v>3680000</v>
      </c>
      <c r="K33" s="332">
        <f>[2]A5A!K274</f>
        <v>3326364</v>
      </c>
      <c r="L33" s="333">
        <f>[2]A5A!L274</f>
        <v>15508298</v>
      </c>
      <c r="M33" s="76"/>
    </row>
    <row r="34" spans="1:18" ht="11.25" customHeight="1" x14ac:dyDescent="0.2">
      <c r="A34" s="77" t="str">
        <f t="shared" si="1"/>
        <v>Vote 11 - Waste Management</v>
      </c>
      <c r="B34" s="288"/>
      <c r="C34" s="348">
        <f>[2]A5A!C285</f>
        <v>52500</v>
      </c>
      <c r="D34" s="348">
        <f>[2]A5A!D285</f>
        <v>3605000</v>
      </c>
      <c r="E34" s="333">
        <f>[2]A5A!E285</f>
        <v>3160235</v>
      </c>
      <c r="F34" s="334">
        <f>[2]A5A!F285</f>
        <v>6140000</v>
      </c>
      <c r="G34" s="332">
        <f>[2]A5A!G285</f>
        <v>5140000</v>
      </c>
      <c r="H34" s="333">
        <f>[2]A5A!H285</f>
        <v>5140000</v>
      </c>
      <c r="I34" s="337">
        <f>[2]A5A!I285</f>
        <v>5140000</v>
      </c>
      <c r="J34" s="334">
        <f>[2]A5A!J285</f>
        <v>6850000</v>
      </c>
      <c r="K34" s="332">
        <f>[2]A5A!K285</f>
        <v>0</v>
      </c>
      <c r="L34" s="333">
        <f>[2]A5A!L285</f>
        <v>0</v>
      </c>
      <c r="M34" s="76"/>
    </row>
    <row r="35" spans="1:18" ht="11.25" customHeight="1" x14ac:dyDescent="0.2">
      <c r="A35" s="77" t="str">
        <f t="shared" si="1"/>
        <v>Vote 12 - [NAME OF VOTE 12]</v>
      </c>
      <c r="B35" s="288"/>
      <c r="C35" s="348">
        <f>[2]A5A!C296</f>
        <v>0</v>
      </c>
      <c r="D35" s="348">
        <f>[2]A5A!D296</f>
        <v>0</v>
      </c>
      <c r="E35" s="333">
        <f>[2]A5A!E296</f>
        <v>0</v>
      </c>
      <c r="F35" s="334">
        <f>[2]A5A!F296</f>
        <v>0</v>
      </c>
      <c r="G35" s="332">
        <f>[2]A5A!G296</f>
        <v>0</v>
      </c>
      <c r="H35" s="333">
        <f>[2]A5A!H296</f>
        <v>0</v>
      </c>
      <c r="I35" s="337">
        <f>[2]A5A!I296</f>
        <v>0</v>
      </c>
      <c r="J35" s="334">
        <f>[2]A5A!J296</f>
        <v>0</v>
      </c>
      <c r="K35" s="332">
        <f>[2]A5A!K296</f>
        <v>0</v>
      </c>
      <c r="L35" s="333">
        <f>[2]A5A!L296</f>
        <v>0</v>
      </c>
      <c r="M35" s="76"/>
    </row>
    <row r="36" spans="1:18" ht="11.25" customHeight="1" x14ac:dyDescent="0.2">
      <c r="A36" s="77" t="str">
        <f t="shared" si="1"/>
        <v>Vote 13 - [NAME OF VOTE 13]</v>
      </c>
      <c r="B36" s="288"/>
      <c r="C36" s="349">
        <f>[2]A5A!C307</f>
        <v>0</v>
      </c>
      <c r="D36" s="349">
        <f>[2]A5A!D307</f>
        <v>0</v>
      </c>
      <c r="E36" s="350">
        <f>[2]A5A!E307</f>
        <v>0</v>
      </c>
      <c r="F36" s="351">
        <f>[2]A5A!F307</f>
        <v>0</v>
      </c>
      <c r="G36" s="352">
        <f>[2]A5A!G307</f>
        <v>0</v>
      </c>
      <c r="H36" s="350">
        <f>[2]A5A!H307</f>
        <v>0</v>
      </c>
      <c r="I36" s="353">
        <f>[2]A5A!I307</f>
        <v>0</v>
      </c>
      <c r="J36" s="351">
        <f>[2]A5A!J307</f>
        <v>0</v>
      </c>
      <c r="K36" s="352">
        <f>[2]A5A!K307</f>
        <v>0</v>
      </c>
      <c r="L36" s="350">
        <f>[2]A5A!L307</f>
        <v>0</v>
      </c>
      <c r="M36" s="76"/>
    </row>
    <row r="37" spans="1:18" ht="11.25" customHeight="1" x14ac:dyDescent="0.2">
      <c r="A37" s="77" t="str">
        <f t="shared" si="1"/>
        <v>Vote 14 - [NAME OF VOTE 14]</v>
      </c>
      <c r="B37" s="288"/>
      <c r="C37" s="349">
        <f>[2]A5A!C318</f>
        <v>0</v>
      </c>
      <c r="D37" s="349">
        <f>[2]A5A!D318</f>
        <v>0</v>
      </c>
      <c r="E37" s="350">
        <f>[2]A5A!E318</f>
        <v>0</v>
      </c>
      <c r="F37" s="351">
        <f>[2]A5A!F318</f>
        <v>0</v>
      </c>
      <c r="G37" s="352">
        <f>[2]A5A!G318</f>
        <v>0</v>
      </c>
      <c r="H37" s="350">
        <f>[2]A5A!H318</f>
        <v>0</v>
      </c>
      <c r="I37" s="353">
        <f>[2]A5A!I318</f>
        <v>0</v>
      </c>
      <c r="J37" s="351">
        <f>[2]A5A!J318</f>
        <v>0</v>
      </c>
      <c r="K37" s="352">
        <f>[2]A5A!K318</f>
        <v>0</v>
      </c>
      <c r="L37" s="350">
        <f>[2]A5A!L318</f>
        <v>0</v>
      </c>
      <c r="M37" s="76"/>
    </row>
    <row r="38" spans="1:18" ht="11.25" customHeight="1" x14ac:dyDescent="0.2">
      <c r="A38" s="77" t="str">
        <f>A20</f>
        <v>Vote 15 - [NAME OF VOTE 15]</v>
      </c>
      <c r="B38" s="288"/>
      <c r="C38" s="349">
        <f>[2]A5A!C329</f>
        <v>0</v>
      </c>
      <c r="D38" s="349">
        <f>[2]A5A!D329</f>
        <v>0</v>
      </c>
      <c r="E38" s="350">
        <f>[2]A5A!E329</f>
        <v>0</v>
      </c>
      <c r="F38" s="351">
        <f>[2]A5A!F329</f>
        <v>0</v>
      </c>
      <c r="G38" s="352">
        <f>[2]A5A!G329</f>
        <v>0</v>
      </c>
      <c r="H38" s="350">
        <f>[2]A5A!H329</f>
        <v>0</v>
      </c>
      <c r="I38" s="353">
        <f>[2]A5A!I329</f>
        <v>0</v>
      </c>
      <c r="J38" s="351">
        <f>[2]A5A!J329</f>
        <v>0</v>
      </c>
      <c r="K38" s="352">
        <f>[2]A5A!K329</f>
        <v>0</v>
      </c>
      <c r="L38" s="350">
        <f>[2]A5A!L329</f>
        <v>0</v>
      </c>
      <c r="M38" s="76"/>
    </row>
    <row r="39" spans="1:18" ht="11.25" customHeight="1" x14ac:dyDescent="0.2">
      <c r="A39" s="116" t="s">
        <v>434</v>
      </c>
      <c r="B39" s="288"/>
      <c r="C39" s="354">
        <f>SUM(C24:C38)</f>
        <v>23214770</v>
      </c>
      <c r="D39" s="354">
        <f t="shared" ref="D39:L39" si="2">SUM(D24:D38)</f>
        <v>22848000</v>
      </c>
      <c r="E39" s="355">
        <f t="shared" si="2"/>
        <v>52573155</v>
      </c>
      <c r="F39" s="356">
        <f t="shared" si="2"/>
        <v>55284072.310000002</v>
      </c>
      <c r="G39" s="343">
        <f t="shared" si="2"/>
        <v>64414687.310000002</v>
      </c>
      <c r="H39" s="355">
        <f t="shared" si="2"/>
        <v>64414687.310000002</v>
      </c>
      <c r="I39" s="357">
        <f t="shared" si="2"/>
        <v>64414687.310000002</v>
      </c>
      <c r="J39" s="356">
        <f t="shared" si="2"/>
        <v>48078047</v>
      </c>
      <c r="K39" s="343">
        <f t="shared" si="2"/>
        <v>16574350</v>
      </c>
      <c r="L39" s="355">
        <f t="shared" si="2"/>
        <v>36998951</v>
      </c>
      <c r="M39" s="76"/>
    </row>
    <row r="40" spans="1:18" x14ac:dyDescent="0.2">
      <c r="A40" s="118" t="s">
        <v>533</v>
      </c>
      <c r="B40" s="316"/>
      <c r="C40" s="358">
        <f>C39+C21</f>
        <v>176242641</v>
      </c>
      <c r="D40" s="358">
        <f t="shared" ref="D40:L40" si="3">D39+D21</f>
        <v>104957167</v>
      </c>
      <c r="E40" s="359">
        <f t="shared" si="3"/>
        <v>162818699</v>
      </c>
      <c r="F40" s="360">
        <f t="shared" si="3"/>
        <v>179277319.12</v>
      </c>
      <c r="G40" s="361">
        <f t="shared" si="3"/>
        <v>193661406.12</v>
      </c>
      <c r="H40" s="359">
        <f t="shared" si="3"/>
        <v>193661406.12</v>
      </c>
      <c r="I40" s="362">
        <f t="shared" si="3"/>
        <v>193661406.12</v>
      </c>
      <c r="J40" s="360">
        <f t="shared" si="3"/>
        <v>151554220</v>
      </c>
      <c r="K40" s="361">
        <f t="shared" si="3"/>
        <v>185822294</v>
      </c>
      <c r="L40" s="359">
        <f t="shared" si="3"/>
        <v>200551218</v>
      </c>
      <c r="M40" s="76"/>
    </row>
    <row r="41" spans="1:18" ht="4.95" customHeight="1" x14ac:dyDescent="0.2">
      <c r="A41" s="67"/>
      <c r="B41" s="288"/>
      <c r="C41" s="348"/>
      <c r="D41" s="348"/>
      <c r="E41" s="333"/>
      <c r="F41" s="334"/>
      <c r="G41" s="332"/>
      <c r="H41" s="333"/>
      <c r="I41" s="337"/>
      <c r="J41" s="334"/>
      <c r="K41" s="332"/>
      <c r="L41" s="333"/>
      <c r="M41" s="76"/>
    </row>
    <row r="42" spans="1:18" ht="11.25" customHeight="1" x14ac:dyDescent="0.2">
      <c r="A42" s="110" t="s">
        <v>534</v>
      </c>
      <c r="B42" s="288"/>
      <c r="C42" s="348"/>
      <c r="D42" s="348"/>
      <c r="E42" s="333"/>
      <c r="F42" s="334"/>
      <c r="G42" s="332"/>
      <c r="H42" s="333"/>
      <c r="I42" s="337"/>
      <c r="J42" s="363"/>
      <c r="K42" s="332"/>
      <c r="L42" s="364"/>
      <c r="M42" s="76"/>
    </row>
    <row r="43" spans="1:18" ht="11.25" customHeight="1" x14ac:dyDescent="0.2">
      <c r="A43" s="365" t="s">
        <v>535</v>
      </c>
      <c r="B43" s="199"/>
      <c r="C43" s="366">
        <f>SUM(C44:C46)</f>
        <v>1631093</v>
      </c>
      <c r="D43" s="366">
        <f t="shared" ref="D43:L43" si="4">SUM(D44:D46)</f>
        <v>3922000</v>
      </c>
      <c r="E43" s="367">
        <f t="shared" si="4"/>
        <v>3612517</v>
      </c>
      <c r="F43" s="368">
        <f t="shared" si="4"/>
        <v>7086000</v>
      </c>
      <c r="G43" s="366">
        <f t="shared" si="4"/>
        <v>6419665</v>
      </c>
      <c r="H43" s="369">
        <f t="shared" si="4"/>
        <v>6419665</v>
      </c>
      <c r="I43" s="370">
        <f t="shared" si="4"/>
        <v>6419665</v>
      </c>
      <c r="J43" s="368">
        <f t="shared" si="4"/>
        <v>4942000</v>
      </c>
      <c r="K43" s="366">
        <f t="shared" si="4"/>
        <v>0</v>
      </c>
      <c r="L43" s="369">
        <f t="shared" si="4"/>
        <v>0</v>
      </c>
      <c r="M43" s="76"/>
      <c r="Q43" s="371"/>
      <c r="R43" s="372"/>
    </row>
    <row r="44" spans="1:18" ht="11.25" customHeight="1" x14ac:dyDescent="0.2">
      <c r="A44" s="373" t="s">
        <v>536</v>
      </c>
      <c r="B44" s="199"/>
      <c r="C44" s="78">
        <v>0</v>
      </c>
      <c r="D44" s="78">
        <v>0</v>
      </c>
      <c r="E44" s="241">
        <v>1959142</v>
      </c>
      <c r="F44" s="79">
        <v>0</v>
      </c>
      <c r="G44" s="78">
        <v>0</v>
      </c>
      <c r="H44" s="78">
        <v>0</v>
      </c>
      <c r="I44" s="78">
        <v>0</v>
      </c>
      <c r="J44" s="61">
        <v>525000</v>
      </c>
      <c r="K44" s="78">
        <v>0</v>
      </c>
      <c r="L44" s="214">
        <v>0</v>
      </c>
      <c r="M44" s="76"/>
      <c r="Q44" s="371"/>
      <c r="R44" s="372"/>
    </row>
    <row r="45" spans="1:18" ht="11.25" customHeight="1" x14ac:dyDescent="0.2">
      <c r="A45" s="373" t="s">
        <v>537</v>
      </c>
      <c r="B45" s="199"/>
      <c r="C45" s="293">
        <v>1631093</v>
      </c>
      <c r="D45" s="293">
        <v>3922000</v>
      </c>
      <c r="E45" s="295">
        <v>1653375</v>
      </c>
      <c r="F45" s="113">
        <v>7086000</v>
      </c>
      <c r="G45" s="293">
        <v>6419665</v>
      </c>
      <c r="H45" s="293">
        <v>6419665</v>
      </c>
      <c r="I45" s="293">
        <v>6419665</v>
      </c>
      <c r="J45" s="303">
        <f>2167000+35000+1250000+965000</f>
        <v>4417000</v>
      </c>
      <c r="K45" s="293">
        <v>0</v>
      </c>
      <c r="L45" s="294">
        <v>0</v>
      </c>
      <c r="M45" s="76"/>
      <c r="Q45" s="371"/>
      <c r="R45" s="372"/>
    </row>
    <row r="46" spans="1:18" ht="11.25" customHeight="1" x14ac:dyDescent="0.2">
      <c r="A46" s="373" t="s">
        <v>538</v>
      </c>
      <c r="B46" s="199"/>
      <c r="C46" s="78">
        <v>0</v>
      </c>
      <c r="D46" s="78">
        <v>0</v>
      </c>
      <c r="E46" s="241">
        <v>0</v>
      </c>
      <c r="F46" s="79">
        <v>0</v>
      </c>
      <c r="G46" s="78">
        <v>0</v>
      </c>
      <c r="H46" s="78">
        <v>0</v>
      </c>
      <c r="I46" s="78">
        <v>0</v>
      </c>
      <c r="J46" s="61">
        <v>0</v>
      </c>
      <c r="K46" s="78">
        <v>0</v>
      </c>
      <c r="L46" s="214">
        <v>0</v>
      </c>
      <c r="M46" s="76"/>
      <c r="Q46" s="371"/>
      <c r="R46" s="372"/>
    </row>
    <row r="47" spans="1:18" ht="11.25" customHeight="1" x14ac:dyDescent="0.2">
      <c r="A47" s="365" t="s">
        <v>539</v>
      </c>
      <c r="B47" s="199"/>
      <c r="C47" s="366">
        <f>SUM(C48:C52)</f>
        <v>17087437</v>
      </c>
      <c r="D47" s="366">
        <f t="shared" ref="D47:L47" si="5">SUM(D48:D52)</f>
        <v>27244167</v>
      </c>
      <c r="E47" s="374">
        <f t="shared" si="5"/>
        <v>64302342</v>
      </c>
      <c r="F47" s="375">
        <f t="shared" si="5"/>
        <v>44240432.199999996</v>
      </c>
      <c r="G47" s="366">
        <f t="shared" si="5"/>
        <v>44262227.199999996</v>
      </c>
      <c r="H47" s="370">
        <f t="shared" si="5"/>
        <v>44262227.199999996</v>
      </c>
      <c r="I47" s="375">
        <f t="shared" si="5"/>
        <v>44262227.199999996</v>
      </c>
      <c r="J47" s="368">
        <f t="shared" si="5"/>
        <v>51598415</v>
      </c>
      <c r="K47" s="366">
        <f t="shared" si="5"/>
        <v>55259253</v>
      </c>
      <c r="L47" s="369">
        <f t="shared" si="5"/>
        <v>76173031</v>
      </c>
      <c r="M47" s="76"/>
      <c r="Q47" s="371"/>
      <c r="R47" s="372"/>
    </row>
    <row r="48" spans="1:18" ht="11.25" customHeight="1" x14ac:dyDescent="0.2">
      <c r="A48" s="373" t="s">
        <v>540</v>
      </c>
      <c r="B48" s="199"/>
      <c r="C48" s="78">
        <v>10131222</v>
      </c>
      <c r="D48" s="78">
        <v>18440000</v>
      </c>
      <c r="E48" s="241">
        <v>16091916</v>
      </c>
      <c r="F48" s="79">
        <v>3618446.4</v>
      </c>
      <c r="G48" s="78">
        <v>2118446.4</v>
      </c>
      <c r="H48" s="78">
        <v>2118446.4</v>
      </c>
      <c r="I48" s="78">
        <v>2118446.4</v>
      </c>
      <c r="J48" s="61">
        <f>3000+4630000+330000</f>
        <v>4963000</v>
      </c>
      <c r="K48" s="78">
        <v>3900000</v>
      </c>
      <c r="L48" s="214">
        <v>0</v>
      </c>
      <c r="M48" s="76"/>
      <c r="Q48" s="371"/>
      <c r="R48" s="372"/>
    </row>
    <row r="49" spans="1:18" ht="11.25" customHeight="1" x14ac:dyDescent="0.2">
      <c r="A49" s="373" t="s">
        <v>541</v>
      </c>
      <c r="B49" s="199"/>
      <c r="C49" s="78">
        <v>3297955</v>
      </c>
      <c r="D49" s="78">
        <v>6740167</v>
      </c>
      <c r="E49" s="241">
        <v>46132125</v>
      </c>
      <c r="F49" s="79">
        <v>36421985.799999997</v>
      </c>
      <c r="G49" s="78">
        <v>36466371.799999997</v>
      </c>
      <c r="H49" s="78">
        <v>36466371.799999997</v>
      </c>
      <c r="I49" s="78">
        <v>36466371.799999997</v>
      </c>
      <c r="J49" s="61">
        <f>15402226+8233189+10000000+10000000</f>
        <v>43635415</v>
      </c>
      <c r="K49" s="78">
        <f>8750000+14681858+15151031</f>
        <v>38582889</v>
      </c>
      <c r="L49" s="214">
        <f>11325142+10355969</f>
        <v>21681111</v>
      </c>
      <c r="M49" s="76"/>
      <c r="Q49" s="371"/>
      <c r="R49" s="372"/>
    </row>
    <row r="50" spans="1:18" ht="11.25" customHeight="1" x14ac:dyDescent="0.2">
      <c r="A50" s="373" t="s">
        <v>542</v>
      </c>
      <c r="B50" s="199"/>
      <c r="C50" s="78">
        <v>3658260</v>
      </c>
      <c r="D50" s="78">
        <v>2064000</v>
      </c>
      <c r="E50" s="241">
        <v>2078301</v>
      </c>
      <c r="F50" s="79">
        <v>4200000</v>
      </c>
      <c r="G50" s="78">
        <v>5677409</v>
      </c>
      <c r="H50" s="78">
        <v>5677409</v>
      </c>
      <c r="I50" s="78">
        <v>5677409</v>
      </c>
      <c r="J50" s="61">
        <v>3000000</v>
      </c>
      <c r="K50" s="78">
        <v>12776364</v>
      </c>
      <c r="L50" s="214">
        <v>54491920</v>
      </c>
      <c r="M50" s="76"/>
      <c r="Q50" s="371"/>
      <c r="R50" s="372"/>
    </row>
    <row r="51" spans="1:18" ht="11.25" customHeight="1" x14ac:dyDescent="0.2">
      <c r="A51" s="373" t="s">
        <v>543</v>
      </c>
      <c r="B51" s="199"/>
      <c r="C51" s="78">
        <v>0</v>
      </c>
      <c r="D51" s="78">
        <v>0</v>
      </c>
      <c r="E51" s="241">
        <v>0</v>
      </c>
      <c r="F51" s="79">
        <v>0</v>
      </c>
      <c r="G51" s="78">
        <v>0</v>
      </c>
      <c r="H51" s="78">
        <v>0</v>
      </c>
      <c r="I51" s="78">
        <v>0</v>
      </c>
      <c r="J51" s="61">
        <v>0</v>
      </c>
      <c r="K51" s="78">
        <v>0</v>
      </c>
      <c r="L51" s="214">
        <v>0</v>
      </c>
      <c r="M51" s="76"/>
      <c r="Q51" s="371"/>
      <c r="R51" s="372"/>
    </row>
    <row r="52" spans="1:18" ht="11.25" customHeight="1" x14ac:dyDescent="0.2">
      <c r="A52" s="373" t="s">
        <v>544</v>
      </c>
      <c r="B52" s="199"/>
      <c r="C52" s="293">
        <v>0</v>
      </c>
      <c r="D52" s="293">
        <v>0</v>
      </c>
      <c r="E52" s="295">
        <v>0</v>
      </c>
      <c r="F52" s="113">
        <v>0</v>
      </c>
      <c r="G52" s="293">
        <v>0</v>
      </c>
      <c r="H52" s="293">
        <v>0</v>
      </c>
      <c r="I52" s="293">
        <v>0</v>
      </c>
      <c r="J52" s="303">
        <v>0</v>
      </c>
      <c r="K52" s="293">
        <v>0</v>
      </c>
      <c r="L52" s="294">
        <v>0</v>
      </c>
      <c r="M52" s="76"/>
      <c r="Q52" s="371"/>
      <c r="R52" s="372"/>
    </row>
    <row r="53" spans="1:18" ht="11.25" customHeight="1" x14ac:dyDescent="0.2">
      <c r="A53" s="365" t="s">
        <v>545</v>
      </c>
      <c r="B53" s="376"/>
      <c r="C53" s="366">
        <f>SUM(C54:C56)</f>
        <v>155617828</v>
      </c>
      <c r="D53" s="366">
        <f t="shared" ref="D53:L53" si="6">SUM(D54:D56)</f>
        <v>58170000</v>
      </c>
      <c r="E53" s="374">
        <f t="shared" si="6"/>
        <v>78341296</v>
      </c>
      <c r="F53" s="375">
        <f t="shared" si="6"/>
        <v>102012120.61000001</v>
      </c>
      <c r="G53" s="366">
        <f t="shared" si="6"/>
        <v>110590901.61</v>
      </c>
      <c r="H53" s="370">
        <f t="shared" si="6"/>
        <v>110590901.61</v>
      </c>
      <c r="I53" s="375">
        <f t="shared" si="6"/>
        <v>110590901.61</v>
      </c>
      <c r="J53" s="368">
        <f t="shared" si="6"/>
        <v>72683805</v>
      </c>
      <c r="K53" s="366">
        <f t="shared" si="6"/>
        <v>110513041</v>
      </c>
      <c r="L53" s="369">
        <f t="shared" si="6"/>
        <v>85869889</v>
      </c>
      <c r="M53" s="76"/>
      <c r="Q53" s="371"/>
      <c r="R53" s="372"/>
    </row>
    <row r="54" spans="1:18" ht="11.25" customHeight="1" x14ac:dyDescent="0.2">
      <c r="A54" s="373" t="s">
        <v>546</v>
      </c>
      <c r="B54" s="199"/>
      <c r="C54" s="78">
        <v>5991032</v>
      </c>
      <c r="D54" s="78">
        <v>1011000</v>
      </c>
      <c r="E54" s="241">
        <v>0</v>
      </c>
      <c r="F54" s="79">
        <v>0</v>
      </c>
      <c r="G54" s="78">
        <v>0</v>
      </c>
      <c r="H54" s="78">
        <v>0</v>
      </c>
      <c r="I54" s="78">
        <v>0</v>
      </c>
      <c r="J54" s="61">
        <v>0</v>
      </c>
      <c r="K54" s="78">
        <v>0</v>
      </c>
      <c r="L54" s="214">
        <v>0</v>
      </c>
      <c r="M54" s="76"/>
      <c r="Q54" s="371"/>
      <c r="R54" s="372"/>
    </row>
    <row r="55" spans="1:18" ht="11.25" customHeight="1" x14ac:dyDescent="0.2">
      <c r="A55" s="373" t="s">
        <v>547</v>
      </c>
      <c r="B55" s="199"/>
      <c r="C55" s="78">
        <v>149626796</v>
      </c>
      <c r="D55" s="78">
        <v>57159000</v>
      </c>
      <c r="E55" s="241">
        <v>78341296</v>
      </c>
      <c r="F55" s="79">
        <v>102012120.61000001</v>
      </c>
      <c r="G55" s="78">
        <f>90590901.61+20000000</f>
        <v>110590901.61</v>
      </c>
      <c r="H55" s="78">
        <f>90590901.61+20000000</f>
        <v>110590901.61</v>
      </c>
      <c r="I55" s="78">
        <f>90590901.61+20000000</f>
        <v>110590901.61</v>
      </c>
      <c r="J55" s="61">
        <f>40478994+2830000+9861764+8000000+1000000+7000000+3513047</f>
        <v>72683805</v>
      </c>
      <c r="K55" s="78">
        <f>79562930+14002125+600000+600000+4000000+8000000+3747986</f>
        <v>110513041</v>
      </c>
      <c r="L55" s="214">
        <f>42200000+6113111+15700000+15458045+2400000+3998733</f>
        <v>85869889</v>
      </c>
      <c r="M55" s="76"/>
      <c r="Q55" s="371"/>
      <c r="R55" s="372"/>
    </row>
    <row r="56" spans="1:18" ht="11.25" customHeight="1" x14ac:dyDescent="0.2">
      <c r="A56" s="373" t="s">
        <v>548</v>
      </c>
      <c r="B56" s="199"/>
      <c r="C56" s="78">
        <v>0</v>
      </c>
      <c r="D56" s="78">
        <v>0</v>
      </c>
      <c r="E56" s="241">
        <v>0</v>
      </c>
      <c r="F56" s="79">
        <v>0</v>
      </c>
      <c r="G56" s="78">
        <v>0</v>
      </c>
      <c r="H56" s="78">
        <v>0</v>
      </c>
      <c r="I56" s="78">
        <v>0</v>
      </c>
      <c r="J56" s="61">
        <v>0</v>
      </c>
      <c r="K56" s="78">
        <v>0</v>
      </c>
      <c r="L56" s="214">
        <v>0</v>
      </c>
      <c r="M56" s="76"/>
      <c r="Q56" s="371"/>
      <c r="R56" s="372"/>
    </row>
    <row r="57" spans="1:18" ht="11.25" customHeight="1" x14ac:dyDescent="0.2">
      <c r="A57" s="365" t="s">
        <v>549</v>
      </c>
      <c r="B57" s="376"/>
      <c r="C57" s="366">
        <f>SUM(C58:C61)</f>
        <v>1906282</v>
      </c>
      <c r="D57" s="366">
        <f t="shared" ref="D57:L57" si="7">SUM(D58:D61)</f>
        <v>15621000</v>
      </c>
      <c r="E57" s="374">
        <f t="shared" si="7"/>
        <v>22423382</v>
      </c>
      <c r="F57" s="375">
        <f t="shared" si="7"/>
        <v>25938766.050000001</v>
      </c>
      <c r="G57" s="366">
        <f t="shared" si="7"/>
        <v>32388766.050000001</v>
      </c>
      <c r="H57" s="370">
        <f t="shared" si="7"/>
        <v>32388766.050000001</v>
      </c>
      <c r="I57" s="375">
        <f t="shared" si="7"/>
        <v>32388766.050000001</v>
      </c>
      <c r="J57" s="368">
        <f t="shared" si="7"/>
        <v>22330000</v>
      </c>
      <c r="K57" s="366">
        <f t="shared" si="7"/>
        <v>20050000</v>
      </c>
      <c r="L57" s="369">
        <f t="shared" si="7"/>
        <v>38508298</v>
      </c>
      <c r="M57" s="76"/>
      <c r="Q57" s="371"/>
      <c r="R57" s="372"/>
    </row>
    <row r="58" spans="1:18" ht="11.25" customHeight="1" x14ac:dyDescent="0.2">
      <c r="A58" s="373" t="s">
        <v>550</v>
      </c>
      <c r="B58" s="199"/>
      <c r="C58" s="78">
        <v>215525</v>
      </c>
      <c r="D58" s="78">
        <v>12016000</v>
      </c>
      <c r="E58" s="241">
        <v>16984462</v>
      </c>
      <c r="F58" s="79">
        <v>14134111.6</v>
      </c>
      <c r="G58" s="78">
        <v>20784111.600000001</v>
      </c>
      <c r="H58" s="78">
        <v>20784111.600000001</v>
      </c>
      <c r="I58" s="78">
        <v>20784111.600000001</v>
      </c>
      <c r="J58" s="61">
        <v>11800000</v>
      </c>
      <c r="K58" s="78">
        <v>7000000</v>
      </c>
      <c r="L58" s="214">
        <v>7000000</v>
      </c>
      <c r="M58" s="76"/>
      <c r="Q58" s="371"/>
      <c r="R58" s="372"/>
    </row>
    <row r="59" spans="1:18" ht="11.25" customHeight="1" x14ac:dyDescent="0.2">
      <c r="A59" s="373" t="s">
        <v>551</v>
      </c>
      <c r="B59" s="199"/>
      <c r="C59" s="78">
        <v>0</v>
      </c>
      <c r="D59" s="78">
        <v>0</v>
      </c>
      <c r="E59" s="241">
        <v>0</v>
      </c>
      <c r="F59" s="79">
        <v>0</v>
      </c>
      <c r="G59" s="78">
        <v>0</v>
      </c>
      <c r="H59" s="78">
        <v>0</v>
      </c>
      <c r="I59" s="78">
        <v>0</v>
      </c>
      <c r="J59" s="61">
        <v>0</v>
      </c>
      <c r="K59" s="78">
        <v>0</v>
      </c>
      <c r="L59" s="214">
        <v>0</v>
      </c>
      <c r="M59" s="76"/>
      <c r="Q59" s="371"/>
      <c r="R59" s="372"/>
    </row>
    <row r="60" spans="1:18" ht="11.25" customHeight="1" x14ac:dyDescent="0.2">
      <c r="A60" s="373" t="s">
        <v>552</v>
      </c>
      <c r="B60" s="199"/>
      <c r="C60" s="293">
        <v>52500</v>
      </c>
      <c r="D60" s="293">
        <v>0</v>
      </c>
      <c r="E60" s="295">
        <v>2278685</v>
      </c>
      <c r="F60" s="113">
        <v>5664654.4500000002</v>
      </c>
      <c r="G60" s="293">
        <v>6464654.4500000002</v>
      </c>
      <c r="H60" s="293">
        <v>6464654.4500000002</v>
      </c>
      <c r="I60" s="293">
        <v>6464654.4500000002</v>
      </c>
      <c r="J60" s="303">
        <v>3680000</v>
      </c>
      <c r="K60" s="293">
        <v>13050000</v>
      </c>
      <c r="L60" s="294">
        <v>31508298</v>
      </c>
      <c r="M60" s="76"/>
      <c r="Q60" s="371"/>
      <c r="R60" s="372"/>
    </row>
    <row r="61" spans="1:18" ht="11.25" customHeight="1" x14ac:dyDescent="0.2">
      <c r="A61" s="373" t="s">
        <v>111</v>
      </c>
      <c r="B61" s="199"/>
      <c r="C61" s="78">
        <v>1638257</v>
      </c>
      <c r="D61" s="78">
        <v>3605000</v>
      </c>
      <c r="E61" s="241">
        <v>3160235</v>
      </c>
      <c r="F61" s="79">
        <v>6140000</v>
      </c>
      <c r="G61" s="78">
        <v>5140000</v>
      </c>
      <c r="H61" s="78">
        <v>5140000</v>
      </c>
      <c r="I61" s="78">
        <v>5140000</v>
      </c>
      <c r="J61" s="61">
        <v>6850000</v>
      </c>
      <c r="K61" s="78">
        <v>0</v>
      </c>
      <c r="L61" s="214">
        <v>0</v>
      </c>
      <c r="M61" s="76"/>
      <c r="Q61" s="371"/>
      <c r="R61" s="372"/>
    </row>
    <row r="62" spans="1:18" ht="11.25" customHeight="1" x14ac:dyDescent="0.2">
      <c r="A62" s="365" t="s">
        <v>553</v>
      </c>
      <c r="B62" s="376"/>
      <c r="C62" s="377"/>
      <c r="D62" s="377"/>
      <c r="E62" s="378"/>
      <c r="F62" s="79">
        <v>0</v>
      </c>
      <c r="G62" s="78">
        <v>0</v>
      </c>
      <c r="H62" s="78">
        <v>0</v>
      </c>
      <c r="I62" s="78">
        <v>0</v>
      </c>
      <c r="J62" s="379">
        <v>0</v>
      </c>
      <c r="K62" s="380">
        <v>0</v>
      </c>
      <c r="L62" s="381">
        <v>0</v>
      </c>
      <c r="M62" s="76"/>
      <c r="Q62" s="371"/>
      <c r="R62" s="372"/>
    </row>
    <row r="63" spans="1:18" x14ac:dyDescent="0.2">
      <c r="A63" s="382" t="s">
        <v>554</v>
      </c>
      <c r="B63" s="316">
        <v>3</v>
      </c>
      <c r="C63" s="178">
        <f>C43+C47+C53+C57+C62</f>
        <v>176242640</v>
      </c>
      <c r="D63" s="178">
        <f t="shared" ref="D63:K63" si="8">D43+D47+D53+D57+D62</f>
        <v>104957167</v>
      </c>
      <c r="E63" s="181">
        <f t="shared" si="8"/>
        <v>168679537</v>
      </c>
      <c r="F63" s="177">
        <f t="shared" si="8"/>
        <v>179277318.86000001</v>
      </c>
      <c r="G63" s="178">
        <f t="shared" si="8"/>
        <v>193661559.86000001</v>
      </c>
      <c r="H63" s="181">
        <f t="shared" si="8"/>
        <v>193661559.86000001</v>
      </c>
      <c r="I63" s="383">
        <f t="shared" si="8"/>
        <v>193661559.86000001</v>
      </c>
      <c r="J63" s="177">
        <f t="shared" si="8"/>
        <v>151554220</v>
      </c>
      <c r="K63" s="178">
        <f t="shared" si="8"/>
        <v>185822294</v>
      </c>
      <c r="L63" s="181">
        <f>L43+L47+L53+L57+L62</f>
        <v>200551218</v>
      </c>
      <c r="M63" s="76"/>
    </row>
    <row r="64" spans="1:18" ht="4.95" customHeight="1" x14ac:dyDescent="0.2">
      <c r="A64" s="63"/>
      <c r="B64" s="288"/>
      <c r="C64" s="68"/>
      <c r="D64" s="68"/>
      <c r="E64" s="251"/>
      <c r="F64" s="250"/>
      <c r="G64" s="68"/>
      <c r="H64" s="249"/>
      <c r="I64" s="251"/>
      <c r="J64" s="250"/>
      <c r="K64" s="68"/>
      <c r="L64" s="249"/>
      <c r="M64" s="76"/>
    </row>
    <row r="65" spans="1:13" ht="11.25" customHeight="1" x14ac:dyDescent="0.2">
      <c r="A65" s="110" t="s">
        <v>555</v>
      </c>
      <c r="B65" s="288"/>
      <c r="C65" s="53"/>
      <c r="D65" s="53"/>
      <c r="E65" s="287"/>
      <c r="F65" s="174"/>
      <c r="G65" s="53"/>
      <c r="H65" s="168"/>
      <c r="I65" s="287"/>
      <c r="J65" s="174"/>
      <c r="K65" s="53"/>
      <c r="L65" s="168"/>
      <c r="M65" s="76"/>
    </row>
    <row r="66" spans="1:13" ht="11.25" customHeight="1" x14ac:dyDescent="0.2">
      <c r="A66" s="384" t="s">
        <v>556</v>
      </c>
      <c r="B66" s="288"/>
      <c r="C66" s="78">
        <v>89314320</v>
      </c>
      <c r="D66" s="242">
        <f>48341000+5105000</f>
        <v>53446000</v>
      </c>
      <c r="E66" s="292">
        <f>61162000</f>
        <v>61162000</v>
      </c>
      <c r="F66" s="79">
        <v>56460000</v>
      </c>
      <c r="G66" s="78">
        <f>56460000+20000000</f>
        <v>76460000</v>
      </c>
      <c r="H66" s="78">
        <f>56460000+20000000</f>
        <v>76460000</v>
      </c>
      <c r="I66" s="78">
        <f>56460000+20000000</f>
        <v>76460000</v>
      </c>
      <c r="J66" s="167">
        <v>57608000</v>
      </c>
      <c r="K66" s="78">
        <v>60783000</v>
      </c>
      <c r="L66" s="241">
        <v>65351000</v>
      </c>
      <c r="M66" s="76"/>
    </row>
    <row r="67" spans="1:13" ht="11.25" customHeight="1" x14ac:dyDescent="0.2">
      <c r="A67" s="384" t="s">
        <v>557</v>
      </c>
      <c r="B67" s="288"/>
      <c r="C67" s="293"/>
      <c r="D67" s="78"/>
      <c r="E67" s="292"/>
      <c r="F67" s="79"/>
      <c r="G67" s="78">
        <v>0</v>
      </c>
      <c r="H67" s="78">
        <v>0</v>
      </c>
      <c r="I67" s="78">
        <v>0</v>
      </c>
      <c r="J67" s="167"/>
      <c r="K67" s="78"/>
      <c r="L67" s="241"/>
      <c r="M67" s="76"/>
    </row>
    <row r="68" spans="1:13" ht="11.25" customHeight="1" x14ac:dyDescent="0.2">
      <c r="A68" s="384" t="s">
        <v>558</v>
      </c>
      <c r="B68" s="288"/>
      <c r="C68" s="293"/>
      <c r="D68" s="293"/>
      <c r="E68" s="292"/>
      <c r="F68" s="79"/>
      <c r="G68" s="78">
        <v>0</v>
      </c>
      <c r="H68" s="78">
        <v>0</v>
      </c>
      <c r="I68" s="78">
        <v>0</v>
      </c>
      <c r="J68" s="175"/>
      <c r="K68" s="293"/>
      <c r="L68" s="295"/>
      <c r="M68" s="76"/>
    </row>
    <row r="69" spans="1:13" ht="11.25" customHeight="1" x14ac:dyDescent="0.2">
      <c r="A69" s="385" t="s">
        <v>559</v>
      </c>
      <c r="B69" s="288"/>
      <c r="C69" s="293"/>
      <c r="D69" s="293"/>
      <c r="E69" s="386">
        <v>6000000</v>
      </c>
      <c r="F69" s="387">
        <v>5983000</v>
      </c>
      <c r="G69" s="388">
        <v>5983000</v>
      </c>
      <c r="H69" s="388">
        <v>5983000</v>
      </c>
      <c r="I69" s="388">
        <v>5983000</v>
      </c>
      <c r="J69" s="175">
        <v>0</v>
      </c>
      <c r="K69" s="293">
        <v>7000000</v>
      </c>
      <c r="L69" s="295">
        <v>7000000</v>
      </c>
      <c r="M69" s="76"/>
    </row>
    <row r="70" spans="1:13" ht="12.45" customHeight="1" x14ac:dyDescent="0.2">
      <c r="A70" s="389" t="s">
        <v>560</v>
      </c>
      <c r="B70" s="288">
        <v>4</v>
      </c>
      <c r="C70" s="65">
        <f t="shared" ref="C70:L70" si="9">SUM(C66:C69)</f>
        <v>89314320</v>
      </c>
      <c r="D70" s="65">
        <f t="shared" si="9"/>
        <v>53446000</v>
      </c>
      <c r="E70" s="248">
        <f t="shared" si="9"/>
        <v>67162000</v>
      </c>
      <c r="F70" s="171">
        <f t="shared" si="9"/>
        <v>62443000</v>
      </c>
      <c r="G70" s="65">
        <f t="shared" si="9"/>
        <v>82443000</v>
      </c>
      <c r="H70" s="172">
        <f t="shared" si="9"/>
        <v>82443000</v>
      </c>
      <c r="I70" s="248">
        <f t="shared" si="9"/>
        <v>82443000</v>
      </c>
      <c r="J70" s="171">
        <f t="shared" si="9"/>
        <v>57608000</v>
      </c>
      <c r="K70" s="65">
        <f t="shared" si="9"/>
        <v>67783000</v>
      </c>
      <c r="L70" s="172">
        <f t="shared" si="9"/>
        <v>72351000</v>
      </c>
      <c r="M70" s="390"/>
    </row>
    <row r="71" spans="1:13" ht="1.95" customHeight="1" x14ac:dyDescent="0.2">
      <c r="A71" s="391"/>
      <c r="B71" s="288"/>
      <c r="C71" s="392"/>
      <c r="D71" s="112"/>
      <c r="E71" s="285"/>
      <c r="F71" s="290"/>
      <c r="G71" s="112"/>
      <c r="H71" s="289"/>
      <c r="I71" s="285"/>
      <c r="J71" s="290"/>
      <c r="K71" s="112"/>
      <c r="L71" s="289"/>
      <c r="M71" s="76"/>
    </row>
    <row r="72" spans="1:13" ht="12.45" customHeight="1" x14ac:dyDescent="0.2">
      <c r="A72" s="391" t="s">
        <v>561</v>
      </c>
      <c r="B72" s="288">
        <v>6</v>
      </c>
      <c r="C72" s="78"/>
      <c r="D72" s="78"/>
      <c r="E72" s="242"/>
      <c r="F72" s="167"/>
      <c r="G72" s="78"/>
      <c r="H72" s="241"/>
      <c r="I72" s="242"/>
      <c r="J72" s="167"/>
      <c r="K72" s="78"/>
      <c r="L72" s="241"/>
      <c r="M72" s="76"/>
    </row>
    <row r="73" spans="1:13" ht="11.25" customHeight="1" x14ac:dyDescent="0.2">
      <c r="A73" s="391" t="s">
        <v>562</v>
      </c>
      <c r="B73" s="288"/>
      <c r="C73" s="78">
        <v>86928320</v>
      </c>
      <c r="D73" s="242">
        <v>51511167</v>
      </c>
      <c r="E73" s="386">
        <v>101517537</v>
      </c>
      <c r="F73" s="167">
        <v>116834318.86</v>
      </c>
      <c r="G73" s="78">
        <v>111218559.86000001</v>
      </c>
      <c r="H73" s="78">
        <v>111218559.86000001</v>
      </c>
      <c r="I73" s="78">
        <v>111218559.86000001</v>
      </c>
      <c r="J73" s="167">
        <v>93946220</v>
      </c>
      <c r="K73" s="78">
        <v>118039294</v>
      </c>
      <c r="L73" s="241">
        <v>128200218</v>
      </c>
      <c r="M73" s="76"/>
    </row>
    <row r="74" spans="1:13" x14ac:dyDescent="0.2">
      <c r="A74" s="118" t="s">
        <v>563</v>
      </c>
      <c r="B74" s="316">
        <v>7</v>
      </c>
      <c r="C74" s="69">
        <f>+C70+C72+C73</f>
        <v>176242640</v>
      </c>
      <c r="D74" s="69">
        <f t="shared" ref="D74:L74" si="10">+D70+D72+D73</f>
        <v>104957167</v>
      </c>
      <c r="E74" s="258">
        <f t="shared" si="10"/>
        <v>168679537</v>
      </c>
      <c r="F74" s="257">
        <f t="shared" si="10"/>
        <v>179277318.86000001</v>
      </c>
      <c r="G74" s="69">
        <f t="shared" si="10"/>
        <v>193661559.86000001</v>
      </c>
      <c r="H74" s="256">
        <f t="shared" si="10"/>
        <v>193661559.86000001</v>
      </c>
      <c r="I74" s="258">
        <f t="shared" si="10"/>
        <v>193661559.86000001</v>
      </c>
      <c r="J74" s="257">
        <f t="shared" si="10"/>
        <v>151554220</v>
      </c>
      <c r="K74" s="69">
        <f t="shared" si="10"/>
        <v>185822294</v>
      </c>
      <c r="L74" s="256">
        <f t="shared" si="10"/>
        <v>200551218</v>
      </c>
      <c r="M74" s="76"/>
    </row>
    <row r="75" spans="1:13" s="183" customFormat="1" x14ac:dyDescent="0.2">
      <c r="A75" s="261">
        <f>head27a</f>
        <v>2</v>
      </c>
      <c r="B75" s="323"/>
      <c r="C75" s="393"/>
      <c r="D75" s="393"/>
      <c r="E75" s="393"/>
      <c r="F75" s="393"/>
      <c r="G75" s="393"/>
      <c r="H75" s="393"/>
      <c r="I75" s="393"/>
      <c r="J75" s="393"/>
      <c r="K75" s="393"/>
      <c r="L75" s="393"/>
      <c r="M75" s="394"/>
    </row>
    <row r="76" spans="1:13" s="183" customFormat="1" ht="12" customHeight="1" x14ac:dyDescent="0.2">
      <c r="A76" s="395" t="s">
        <v>564</v>
      </c>
      <c r="B76" s="323"/>
      <c r="C76" s="396"/>
      <c r="D76" s="396"/>
      <c r="E76" s="393"/>
      <c r="F76" s="393"/>
      <c r="G76" s="393"/>
      <c r="H76" s="393"/>
      <c r="I76" s="393"/>
      <c r="J76" s="393"/>
      <c r="K76" s="393"/>
      <c r="L76" s="393"/>
      <c r="M76" s="394"/>
    </row>
    <row r="77" spans="1:13" s="183" customFormat="1" ht="12" customHeight="1" x14ac:dyDescent="0.2">
      <c r="A77" s="609" t="s">
        <v>565</v>
      </c>
      <c r="B77" s="609"/>
      <c r="C77" s="609"/>
      <c r="D77" s="609"/>
      <c r="E77" s="609"/>
      <c r="F77" s="609"/>
      <c r="G77" s="609"/>
      <c r="H77" s="609"/>
      <c r="I77" s="609"/>
      <c r="J77" s="609"/>
      <c r="K77" s="609"/>
      <c r="L77" s="609"/>
      <c r="M77" s="394"/>
    </row>
    <row r="78" spans="1:13" s="183" customFormat="1" ht="12" customHeight="1" x14ac:dyDescent="0.2">
      <c r="A78" s="609" t="s">
        <v>566</v>
      </c>
      <c r="B78" s="609"/>
      <c r="C78" s="609"/>
      <c r="D78" s="609"/>
      <c r="E78" s="609"/>
      <c r="F78" s="609"/>
      <c r="G78" s="609"/>
      <c r="H78" s="609"/>
      <c r="I78" s="609"/>
      <c r="J78" s="609"/>
      <c r="K78" s="609"/>
      <c r="L78" s="609"/>
      <c r="M78" s="394"/>
    </row>
    <row r="79" spans="1:13" s="183" customFormat="1" ht="12" customHeight="1" x14ac:dyDescent="0.2">
      <c r="A79" s="610" t="s">
        <v>567</v>
      </c>
      <c r="B79" s="610"/>
      <c r="C79" s="610"/>
      <c r="D79" s="610"/>
      <c r="E79" s="610"/>
      <c r="F79" s="610"/>
      <c r="G79" s="610"/>
      <c r="H79" s="610"/>
      <c r="I79" s="610"/>
      <c r="J79" s="610"/>
      <c r="K79" s="610"/>
      <c r="L79" s="610"/>
      <c r="M79" s="394"/>
    </row>
    <row r="80" spans="1:13" s="183" customFormat="1" ht="12" customHeight="1" x14ac:dyDescent="0.2">
      <c r="A80" s="395"/>
      <c r="B80" s="397"/>
      <c r="C80" s="397"/>
      <c r="D80" s="397"/>
      <c r="E80" s="397"/>
      <c r="F80" s="397"/>
      <c r="G80" s="397"/>
      <c r="H80" s="397"/>
      <c r="I80" s="397"/>
      <c r="J80" s="397"/>
      <c r="K80" s="397"/>
      <c r="L80" s="397"/>
      <c r="M80" s="394"/>
    </row>
    <row r="81" spans="1:13" s="183" customFormat="1" ht="12" customHeight="1" x14ac:dyDescent="0.2">
      <c r="A81" s="395" t="s">
        <v>568</v>
      </c>
      <c r="B81" s="397"/>
      <c r="C81" s="397"/>
      <c r="D81" s="397"/>
      <c r="E81" s="397"/>
      <c r="F81" s="397"/>
      <c r="G81" s="397"/>
      <c r="H81" s="397"/>
      <c r="I81" s="397"/>
      <c r="J81" s="397"/>
      <c r="K81" s="397"/>
      <c r="L81" s="397"/>
      <c r="M81" s="394"/>
    </row>
    <row r="82" spans="1:13" s="183" customFormat="1" ht="12" customHeight="1" x14ac:dyDescent="0.2">
      <c r="A82" s="395" t="s">
        <v>569</v>
      </c>
      <c r="B82" s="323"/>
      <c r="C82" s="396"/>
      <c r="D82" s="396"/>
      <c r="E82" s="393"/>
      <c r="F82" s="393"/>
      <c r="G82" s="393"/>
      <c r="H82" s="393"/>
      <c r="I82" s="393"/>
      <c r="J82" s="393"/>
      <c r="K82" s="393"/>
      <c r="L82" s="393"/>
      <c r="M82" s="394"/>
    </row>
    <row r="83" spans="1:13" s="399" customFormat="1" ht="12" customHeight="1" x14ac:dyDescent="0.2">
      <c r="A83" s="611" t="s">
        <v>570</v>
      </c>
      <c r="B83" s="611"/>
      <c r="C83" s="611"/>
      <c r="D83" s="611"/>
      <c r="E83" s="611"/>
      <c r="F83" s="611"/>
      <c r="G83" s="611"/>
      <c r="H83" s="611"/>
      <c r="I83" s="611"/>
      <c r="J83" s="611"/>
      <c r="K83" s="611"/>
      <c r="L83" s="611"/>
      <c r="M83" s="398"/>
    </row>
    <row r="84" spans="1:13" s="399" customFormat="1" ht="11.25" customHeight="1" x14ac:dyDescent="0.2">
      <c r="M84" s="398"/>
    </row>
    <row r="85" spans="1:13" ht="11.25" customHeight="1" x14ac:dyDescent="0.2">
      <c r="A85" s="85" t="s">
        <v>527</v>
      </c>
      <c r="B85" s="83"/>
      <c r="C85" s="400">
        <f>IF((C63-C74)=0,0,"Unbalanced")</f>
        <v>0</v>
      </c>
      <c r="D85" s="400">
        <f t="shared" ref="D85:L85" si="11">IF((D63-D74)=0,0,"Unbalanced")</f>
        <v>0</v>
      </c>
      <c r="E85" s="400">
        <f t="shared" si="11"/>
        <v>0</v>
      </c>
      <c r="F85" s="400">
        <f t="shared" si="11"/>
        <v>0</v>
      </c>
      <c r="G85" s="400">
        <f t="shared" si="11"/>
        <v>0</v>
      </c>
      <c r="H85" s="400">
        <f t="shared" si="11"/>
        <v>0</v>
      </c>
      <c r="I85" s="400">
        <f t="shared" si="11"/>
        <v>0</v>
      </c>
      <c r="J85" s="400">
        <f t="shared" si="11"/>
        <v>0</v>
      </c>
      <c r="K85" s="400">
        <f t="shared" si="11"/>
        <v>0</v>
      </c>
      <c r="L85" s="400">
        <f t="shared" si="11"/>
        <v>0</v>
      </c>
    </row>
    <row r="86" spans="1:13" ht="11.25" customHeight="1" x14ac:dyDescent="0.2">
      <c r="A86" s="85"/>
      <c r="C86" s="400"/>
      <c r="D86" s="400"/>
      <c r="E86" s="401"/>
      <c r="F86" s="402"/>
      <c r="G86" s="401"/>
      <c r="H86" s="401"/>
      <c r="I86" s="401"/>
      <c r="J86" s="401"/>
      <c r="K86" s="401"/>
      <c r="L86" s="401"/>
    </row>
    <row r="87" spans="1:13" ht="11.25" customHeight="1" x14ac:dyDescent="0.2"/>
    <row r="88" spans="1:13" ht="11.25" customHeight="1" x14ac:dyDescent="0.2"/>
    <row r="89" spans="1:13" ht="11.25" customHeight="1" x14ac:dyDescent="0.2"/>
    <row r="90" spans="1:13" ht="11.25" customHeight="1" x14ac:dyDescent="0.2"/>
    <row r="91" spans="1:13" ht="11.25" customHeight="1" x14ac:dyDescent="0.2"/>
    <row r="92" spans="1:13" ht="11.25" customHeight="1" x14ac:dyDescent="0.2"/>
    <row r="93" spans="1:13" ht="11.25" customHeight="1" x14ac:dyDescent="0.2"/>
    <row r="94" spans="1:13" ht="11.25" customHeight="1" x14ac:dyDescent="0.2"/>
    <row r="95" spans="1:13" ht="11.25" customHeight="1" x14ac:dyDescent="0.2"/>
    <row r="96" spans="1:13"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sheetData>
  <mergeCells count="6">
    <mergeCell ref="A77:L77"/>
    <mergeCell ref="A78:L78"/>
    <mergeCell ref="A79:L79"/>
    <mergeCell ref="A83:L83"/>
    <mergeCell ref="F2:I2"/>
    <mergeCell ref="J2:L2"/>
  </mergeCells>
  <conditionalFormatting sqref="C85:L85">
    <cfRule type="cellIs" dxfId="1" priority="1" stopIfTrue="1" operator="notEqual">
      <formula>0</formula>
    </cfRule>
    <cfRule type="cellIs" dxfId="0" priority="2" stopIfTrue="1" operator="notEqual">
      <formula>0</formula>
    </cfRule>
  </conditionalFormatting>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10</vt:i4>
      </vt:variant>
    </vt:vector>
  </HeadingPairs>
  <TitlesOfParts>
    <vt:vector size="35" baseType="lpstr">
      <vt:lpstr>COVER</vt:lpstr>
      <vt:lpstr>INDEX</vt:lpstr>
      <vt:lpstr>INTRO</vt:lpstr>
      <vt:lpstr>METHODOLOGY</vt:lpstr>
      <vt:lpstr>STRATEGY</vt:lpstr>
      <vt:lpstr>OPERATIONAL STRATEIES</vt:lpstr>
      <vt:lpstr>Table A3</vt:lpstr>
      <vt:lpstr>Table A4</vt:lpstr>
      <vt:lpstr>Table A5</vt:lpstr>
      <vt:lpstr>SA 26</vt:lpstr>
      <vt:lpstr>SA 27</vt:lpstr>
      <vt:lpstr>SA 28</vt:lpstr>
      <vt:lpstr>MTOD KPI</vt:lpstr>
      <vt:lpstr>BSD KPI</vt:lpstr>
      <vt:lpstr>LED KPI</vt:lpstr>
      <vt:lpstr>MFMV KPI</vt:lpstr>
      <vt:lpstr>GGPP KPI</vt:lpstr>
      <vt:lpstr>CWP 2019-2020</vt:lpstr>
      <vt:lpstr>MTOD Annextue A</vt:lpstr>
      <vt:lpstr>BSD Annexture B</vt:lpstr>
      <vt:lpstr>LED Annexture C</vt:lpstr>
      <vt:lpstr>MFMV Annexture D</vt:lpstr>
      <vt:lpstr>GGPP Annexture E</vt:lpstr>
      <vt:lpstr>Presentation of Adjustment</vt:lpstr>
      <vt:lpstr>SIGNATURES</vt:lpstr>
      <vt:lpstr>'BSD Annexture B'!Print_Area</vt:lpstr>
      <vt:lpstr>'GGPP Annexture E'!Print_Area</vt:lpstr>
      <vt:lpstr>INTRO!Print_Area</vt:lpstr>
      <vt:lpstr>'LED Annexture C'!Print_Area</vt:lpstr>
      <vt:lpstr>'MFMV Annexture D'!Print_Area</vt:lpstr>
      <vt:lpstr>'MTOD KPI'!Print_Area</vt:lpstr>
      <vt:lpstr>'OPERATIONAL STRATEIES'!Print_Area</vt:lpstr>
      <vt:lpstr>'Table A5'!Print_Area</vt:lpstr>
      <vt:lpstr>'MTOD Annextue A'!Print_Titles</vt:lpstr>
      <vt:lpstr>'MTOD KPI'!Print_Titles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Refiloe Malungane</dc:creator>
  <cp:lastModifiedBy>Jimmy Ngolele</cp:lastModifiedBy>
  <cp:lastPrinted>2020-03-09T05:55:40Z</cp:lastPrinted>
  <dcterms:created xsi:type="dcterms:W3CDTF">2017-03-30T10:31:27Z</dcterms:created>
  <dcterms:modified xsi:type="dcterms:W3CDTF">2020-07-15T11:25:23Z</dcterms:modified>
</cp:coreProperties>
</file>